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ersh\Desktop\BUILD 2019\Port Everglades\"/>
    </mc:Choice>
  </mc:AlternateContent>
  <xr:revisionPtr revIDLastSave="0" documentId="8_{80C4E765-1EA9-458F-8725-6337E9423855}" xr6:coauthVersionLast="36" xr6:coauthVersionMax="36" xr10:uidLastSave="{00000000-0000-0000-0000-000000000000}"/>
  <bookViews>
    <workbookView xWindow="0" yWindow="0" windowWidth="21570" windowHeight="6765" tabRatio="865" xr2:uid="{00000000-000D-0000-FFFF-FFFF00000000}"/>
  </bookViews>
  <sheets>
    <sheet name="BCA Results" sheetId="34" r:id="rId1"/>
    <sheet name="Monetized Values and Factors" sheetId="20" r:id="rId2"/>
    <sheet name="Inflation Adjustment" sheetId="21" r:id="rId3"/>
    <sheet name="Emissions - Truck" sheetId="22" r:id="rId4"/>
    <sheet name="Emissions - Rail" sheetId="26" r:id="rId5"/>
    <sheet name="Crash Rates" sheetId="23" r:id="rId6"/>
    <sheet name="Project Costs" sheetId="24" r:id="rId7"/>
    <sheet name="Other Factors" sheetId="28" r:id="rId8"/>
    <sheet name="Without Project Port Usage" sheetId="25" r:id="rId9"/>
    <sheet name="Trip Calculation" sheetId="18" r:id="rId10"/>
    <sheet name="VMT Ton-Mile Driver Time" sheetId="19" r:id="rId11"/>
    <sheet name="State of Good Repair" sheetId="27" r:id="rId12"/>
    <sheet name="Economic Competitiveness" sheetId="30" r:id="rId13"/>
    <sheet name="Environmental" sheetId="29" r:id="rId14"/>
    <sheet name=" Safety" sheetId="31" r:id="rId15"/>
    <sheet name="Summary of Benefits" sheetId="32" r:id="rId16"/>
    <sheet name="Summary of Costs" sheetId="33" r:id="rId17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536</definedName>
    <definedName name="_AtRisk_SimSetting_ReportOptionReportsFileType" hidden="1">1</definedName>
    <definedName name="_AtRisk_SimSetting_ReportOptionSelectiveQR" hidden="1">FALSE</definedName>
    <definedName name="_AtRisk_SimSetting_ReportsList" hidden="1">536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0.99</definedName>
    <definedName name="_ftn1" localSheetId="6">'Project Costs'!#REF!</definedName>
    <definedName name="_ftnref1" localSheetId="6">'Project Costs'!#REF!</definedName>
    <definedName name="dblStack" localSheetId="9">#REF!</definedName>
    <definedName name="dblStack">#REF!</definedName>
    <definedName name="domstackRate" localSheetId="9">#REF!</definedName>
    <definedName name="domstackRate">#REF!</definedName>
    <definedName name="intlstackRate" localSheetId="9">#REF!</definedName>
    <definedName name="intlstackRate">#REF!</definedName>
    <definedName name="maxLength" localSheetId="9">#REF!</definedName>
    <definedName name="maxLength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1982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UpdateDisplay" hidden="1">TRUE</definedName>
    <definedName name="RiskUseDifferentSeedForEachSim" hidden="1">FALSE</definedName>
    <definedName name="RiskUseFixedSeed" hidden="1">TRUE</definedName>
    <definedName name="RiskUseMultipleCPUs" hidden="1">FALSE</definedName>
    <definedName name="singleStack" localSheetId="9">#REF!</definedName>
    <definedName name="singleStack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34" l="1"/>
  <c r="C11" i="24" l="1"/>
  <c r="B86" i="18" l="1"/>
  <c r="L44" i="31"/>
  <c r="H44" i="31"/>
  <c r="D44" i="31"/>
  <c r="E12" i="24" l="1"/>
  <c r="D12" i="24"/>
  <c r="C12" i="24"/>
  <c r="H13" i="24" l="1"/>
  <c r="G13" i="24"/>
  <c r="I3" i="34" l="1"/>
  <c r="H4" i="33"/>
  <c r="H5" i="33"/>
  <c r="H6" i="33"/>
  <c r="H7" i="33"/>
  <c r="H8" i="33"/>
  <c r="H9" i="33"/>
  <c r="H10" i="33"/>
  <c r="H11" i="33"/>
  <c r="H3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38" i="33"/>
  <c r="G39" i="33"/>
  <c r="G40" i="33"/>
  <c r="G41" i="33"/>
  <c r="L4" i="32"/>
  <c r="L5" i="32"/>
  <c r="L6" i="32"/>
  <c r="L7" i="32"/>
  <c r="L8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L26" i="32"/>
  <c r="L27" i="32"/>
  <c r="L28" i="32"/>
  <c r="L29" i="32"/>
  <c r="L30" i="32"/>
  <c r="L31" i="32"/>
  <c r="L32" i="32"/>
  <c r="L33" i="32"/>
  <c r="L34" i="32"/>
  <c r="L35" i="32"/>
  <c r="L36" i="32"/>
  <c r="L37" i="32"/>
  <c r="L38" i="32"/>
  <c r="L39" i="32"/>
  <c r="L40" i="32"/>
  <c r="L41" i="32"/>
  <c r="L3" i="32"/>
  <c r="K41" i="32"/>
  <c r="K4" i="32"/>
  <c r="K5" i="32"/>
  <c r="K6" i="32"/>
  <c r="K7" i="32"/>
  <c r="K8" i="32"/>
  <c r="K9" i="32"/>
  <c r="K10" i="32"/>
  <c r="K11" i="32"/>
  <c r="K12" i="32"/>
  <c r="K13" i="32"/>
  <c r="K14" i="32"/>
  <c r="K15" i="32"/>
  <c r="K16" i="32"/>
  <c r="K17" i="32"/>
  <c r="K18" i="32"/>
  <c r="K19" i="32"/>
  <c r="K20" i="32"/>
  <c r="K21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6" i="32"/>
  <c r="K37" i="32"/>
  <c r="K38" i="32"/>
  <c r="K39" i="32"/>
  <c r="K40" i="32"/>
  <c r="K3" i="32"/>
  <c r="J4" i="32"/>
  <c r="J5" i="32"/>
  <c r="J6" i="32"/>
  <c r="J7" i="32"/>
  <c r="J8" i="32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30" i="32"/>
  <c r="J31" i="32"/>
  <c r="J32" i="32"/>
  <c r="J33" i="32"/>
  <c r="J34" i="32"/>
  <c r="J35" i="32"/>
  <c r="J36" i="32"/>
  <c r="J37" i="32"/>
  <c r="J38" i="32"/>
  <c r="J39" i="32"/>
  <c r="J40" i="32"/>
  <c r="J41" i="32"/>
  <c r="J3" i="32"/>
  <c r="I4" i="32"/>
  <c r="I5" i="32"/>
  <c r="I6" i="32"/>
  <c r="I7" i="32"/>
  <c r="I8" i="32"/>
  <c r="I9" i="32"/>
  <c r="I10" i="32"/>
  <c r="I11" i="32"/>
  <c r="I12" i="32"/>
  <c r="I13" i="32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3" i="32"/>
  <c r="G4" i="32"/>
  <c r="G5" i="32"/>
  <c r="G6" i="32"/>
  <c r="G7" i="32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3" i="32"/>
  <c r="I9" i="24" l="1"/>
  <c r="J9" i="24"/>
  <c r="J8" i="24"/>
  <c r="BI54" i="22" l="1"/>
  <c r="C29" i="21"/>
  <c r="C28" i="21"/>
  <c r="L42" i="32" l="1"/>
  <c r="E42" i="32"/>
  <c r="D4" i="32" l="1"/>
  <c r="D5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D41" i="32"/>
  <c r="D3" i="32"/>
  <c r="F50" i="29"/>
  <c r="F51" i="29"/>
  <c r="F52" i="29"/>
  <c r="F53" i="29"/>
  <c r="F54" i="29"/>
  <c r="F55" i="29"/>
  <c r="F56" i="29"/>
  <c r="F57" i="29"/>
  <c r="F58" i="29"/>
  <c r="F59" i="29"/>
  <c r="F60" i="29"/>
  <c r="F61" i="29"/>
  <c r="F62" i="29"/>
  <c r="F63" i="29"/>
  <c r="F64" i="29"/>
  <c r="F65" i="29"/>
  <c r="F66" i="29"/>
  <c r="F67" i="29"/>
  <c r="F68" i="29"/>
  <c r="F69" i="29"/>
  <c r="F70" i="29"/>
  <c r="F71" i="29"/>
  <c r="F72" i="29"/>
  <c r="F73" i="29"/>
  <c r="F74" i="29"/>
  <c r="F75" i="29"/>
  <c r="F76" i="29"/>
  <c r="F77" i="29"/>
  <c r="F78" i="29"/>
  <c r="F79" i="29"/>
  <c r="F80" i="29"/>
  <c r="F81" i="29"/>
  <c r="F82" i="29"/>
  <c r="F83" i="29"/>
  <c r="F84" i="29"/>
  <c r="F85" i="29"/>
  <c r="G50" i="29"/>
  <c r="G51" i="29"/>
  <c r="G52" i="29"/>
  <c r="G53" i="29"/>
  <c r="G54" i="29"/>
  <c r="G55" i="29"/>
  <c r="G56" i="29"/>
  <c r="G57" i="29"/>
  <c r="G58" i="29"/>
  <c r="G59" i="29"/>
  <c r="G60" i="29"/>
  <c r="G61" i="29"/>
  <c r="G62" i="29"/>
  <c r="G63" i="29"/>
  <c r="G64" i="29"/>
  <c r="G65" i="29"/>
  <c r="G66" i="29"/>
  <c r="G67" i="29"/>
  <c r="G68" i="29"/>
  <c r="G69" i="29"/>
  <c r="G70" i="29"/>
  <c r="G71" i="29"/>
  <c r="G72" i="29"/>
  <c r="G73" i="29"/>
  <c r="G74" i="29"/>
  <c r="G75" i="29"/>
  <c r="G76" i="29"/>
  <c r="G77" i="29"/>
  <c r="G78" i="29"/>
  <c r="G79" i="29"/>
  <c r="G80" i="29"/>
  <c r="G81" i="29"/>
  <c r="G82" i="29"/>
  <c r="G83" i="29"/>
  <c r="G84" i="29"/>
  <c r="G85" i="29"/>
  <c r="G49" i="29"/>
  <c r="F49" i="29"/>
  <c r="E69" i="29"/>
  <c r="E70" i="29"/>
  <c r="E71" i="29"/>
  <c r="E72" i="29"/>
  <c r="E73" i="29"/>
  <c r="E74" i="29"/>
  <c r="E75" i="29"/>
  <c r="E76" i="29"/>
  <c r="E77" i="29"/>
  <c r="E78" i="29"/>
  <c r="E79" i="29"/>
  <c r="E80" i="29"/>
  <c r="E81" i="29"/>
  <c r="E82" i="29"/>
  <c r="E83" i="29"/>
  <c r="E84" i="29"/>
  <c r="E85" i="29"/>
  <c r="E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72" i="29"/>
  <c r="D73" i="29"/>
  <c r="D74" i="29"/>
  <c r="D75" i="29"/>
  <c r="D76" i="29"/>
  <c r="D77" i="29"/>
  <c r="D78" i="29"/>
  <c r="D79" i="29"/>
  <c r="D80" i="29"/>
  <c r="D81" i="29"/>
  <c r="D82" i="29"/>
  <c r="D83" i="29"/>
  <c r="D84" i="29"/>
  <c r="D85" i="29"/>
  <c r="D49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6" i="29"/>
  <c r="B90" i="29"/>
  <c r="C90" i="29"/>
  <c r="H90" i="29" s="1"/>
  <c r="D90" i="29"/>
  <c r="E90" i="29"/>
  <c r="F90" i="29"/>
  <c r="G90" i="29"/>
  <c r="L90" i="29" s="1"/>
  <c r="I90" i="29"/>
  <c r="J90" i="29"/>
  <c r="K90" i="29"/>
  <c r="B91" i="29"/>
  <c r="C91" i="29"/>
  <c r="D91" i="29"/>
  <c r="I91" i="29" s="1"/>
  <c r="E91" i="29"/>
  <c r="F91" i="29"/>
  <c r="G91" i="29"/>
  <c r="H91" i="29"/>
  <c r="J91" i="29"/>
  <c r="K91" i="29"/>
  <c r="L91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49" i="29"/>
  <c r="BI9" i="22"/>
  <c r="BI10" i="22"/>
  <c r="BI11" i="22" s="1"/>
  <c r="BI12" i="22" s="1"/>
  <c r="BI13" i="22" s="1"/>
  <c r="BI14" i="22" s="1"/>
  <c r="BI15" i="22" s="1"/>
  <c r="BI16" i="22" s="1"/>
  <c r="BI17" i="22" s="1"/>
  <c r="BI18" i="22" s="1"/>
  <c r="BI19" i="22" s="1"/>
  <c r="BI20" i="22" s="1"/>
  <c r="BI21" i="22" s="1"/>
  <c r="BI22" i="22" s="1"/>
  <c r="BI23" i="22" s="1"/>
  <c r="BI24" i="22" s="1"/>
  <c r="BI25" i="22" s="1"/>
  <c r="BI26" i="22" s="1"/>
  <c r="BI27" i="22" s="1"/>
  <c r="BI28" i="22" s="1"/>
  <c r="E68" i="29" s="1"/>
  <c r="BI29" i="22"/>
  <c r="BI30" i="22"/>
  <c r="BI31" i="22" s="1"/>
  <c r="BI32" i="22" s="1"/>
  <c r="BI33" i="22" s="1"/>
  <c r="BI34" i="22" s="1"/>
  <c r="BI35" i="22" s="1"/>
  <c r="BI36" i="22" s="1"/>
  <c r="BI37" i="22" s="1"/>
  <c r="BI38" i="22" s="1"/>
  <c r="BI39" i="22" s="1"/>
  <c r="BI40" i="22" s="1"/>
  <c r="BI41" i="22" s="1"/>
  <c r="BI42" i="22" s="1"/>
  <c r="BI43" i="22" s="1"/>
  <c r="BI44" i="22" s="1"/>
  <c r="BI45" i="22" s="1"/>
  <c r="BI46" i="22" s="1"/>
  <c r="BI47" i="22" s="1"/>
  <c r="BI48" i="22" s="1"/>
  <c r="BI49" i="22" s="1"/>
  <c r="BI50" i="22" s="1"/>
  <c r="BI51" i="22" s="1"/>
  <c r="BI52" i="22" s="1"/>
  <c r="BI53" i="22" s="1"/>
  <c r="BD29" i="22"/>
  <c r="BE29" i="22"/>
  <c r="BF29" i="22"/>
  <c r="BG29" i="22"/>
  <c r="BH29" i="22"/>
  <c r="BC29" i="22"/>
  <c r="BD9" i="22"/>
  <c r="BE9" i="22"/>
  <c r="BF9" i="22"/>
  <c r="BG9" i="22"/>
  <c r="BH9" i="22"/>
  <c r="BC9" i="22"/>
  <c r="AZ9" i="22"/>
  <c r="AZ29" i="22"/>
  <c r="AZ30" i="22" s="1"/>
  <c r="AZ31" i="22" s="1"/>
  <c r="AZ32" i="22" s="1"/>
  <c r="AZ33" i="22" s="1"/>
  <c r="AZ34" i="22" s="1"/>
  <c r="AZ35" i="22" s="1"/>
  <c r="AZ36" i="22" s="1"/>
  <c r="AZ37" i="22" s="1"/>
  <c r="AZ38" i="22" s="1"/>
  <c r="AZ39" i="22" s="1"/>
  <c r="AZ40" i="22" s="1"/>
  <c r="AZ41" i="22" s="1"/>
  <c r="AZ42" i="22" s="1"/>
  <c r="AZ43" i="22" s="1"/>
  <c r="AZ44" i="22" s="1"/>
  <c r="AZ45" i="22" s="1"/>
  <c r="AZ46" i="22" s="1"/>
  <c r="AZ47" i="22" s="1"/>
  <c r="AZ48" i="22" s="1"/>
  <c r="AZ49" i="22" s="1"/>
  <c r="AZ50" i="22" s="1"/>
  <c r="AZ51" i="22" s="1"/>
  <c r="AZ52" i="22" s="1"/>
  <c r="AZ53" i="22" s="1"/>
  <c r="AU29" i="22"/>
  <c r="AV29" i="22"/>
  <c r="AW29" i="22"/>
  <c r="AX29" i="22"/>
  <c r="AY29" i="22"/>
  <c r="AT29" i="22"/>
  <c r="AU9" i="22"/>
  <c r="AV9" i="22"/>
  <c r="AW9" i="22"/>
  <c r="AX9" i="22"/>
  <c r="AY9" i="22"/>
  <c r="AT9" i="22"/>
  <c r="CA9" i="22"/>
  <c r="CA29" i="22"/>
  <c r="CA30" i="22"/>
  <c r="CA31" i="22" s="1"/>
  <c r="CA32" i="22" s="1"/>
  <c r="CA33" i="22" s="1"/>
  <c r="CA34" i="22" s="1"/>
  <c r="CA35" i="22" s="1"/>
  <c r="CA36" i="22" s="1"/>
  <c r="CA37" i="22" s="1"/>
  <c r="CA38" i="22" s="1"/>
  <c r="CA39" i="22" s="1"/>
  <c r="CA40" i="22" s="1"/>
  <c r="CA41" i="22" s="1"/>
  <c r="CA42" i="22" s="1"/>
  <c r="CA43" i="22" s="1"/>
  <c r="CA44" i="22" s="1"/>
  <c r="CA45" i="22" s="1"/>
  <c r="CA46" i="22" s="1"/>
  <c r="CA47" i="22" s="1"/>
  <c r="CA48" i="22" s="1"/>
  <c r="CA49" i="22" s="1"/>
  <c r="CA50" i="22" s="1"/>
  <c r="CA51" i="22" s="1"/>
  <c r="CA52" i="22" s="1"/>
  <c r="CA53" i="22" s="1"/>
  <c r="CA54" i="22"/>
  <c r="CA10" i="22" s="1"/>
  <c r="CA11" i="22" s="1"/>
  <c r="CA12" i="22" s="1"/>
  <c r="CA13" i="22" s="1"/>
  <c r="CA14" i="22" s="1"/>
  <c r="CA15" i="22" s="1"/>
  <c r="CA16" i="22" s="1"/>
  <c r="CA17" i="22" s="1"/>
  <c r="CA18" i="22" s="1"/>
  <c r="CA19" i="22" s="1"/>
  <c r="CA20" i="22" s="1"/>
  <c r="CA21" i="22" s="1"/>
  <c r="CA22" i="22" s="1"/>
  <c r="CA23" i="22" s="1"/>
  <c r="CA24" i="22" s="1"/>
  <c r="CA25" i="22" s="1"/>
  <c r="CA26" i="22" s="1"/>
  <c r="CA27" i="22" s="1"/>
  <c r="CA28" i="22" s="1"/>
  <c r="BR9" i="22"/>
  <c r="BR29" i="22"/>
  <c r="BR30" i="22" s="1"/>
  <c r="BR31" i="22" s="1"/>
  <c r="BR32" i="22" s="1"/>
  <c r="BR33" i="22" s="1"/>
  <c r="BR34" i="22" s="1"/>
  <c r="BR35" i="22" s="1"/>
  <c r="BR36" i="22" s="1"/>
  <c r="BR37" i="22" s="1"/>
  <c r="BR38" i="22" s="1"/>
  <c r="BR39" i="22" s="1"/>
  <c r="BR40" i="22" s="1"/>
  <c r="BR41" i="22" s="1"/>
  <c r="BR42" i="22" s="1"/>
  <c r="BR43" i="22" s="1"/>
  <c r="BR44" i="22" s="1"/>
  <c r="BR45" i="22" s="1"/>
  <c r="BR46" i="22" s="1"/>
  <c r="BR47" i="22" s="1"/>
  <c r="BR48" i="22" s="1"/>
  <c r="BR49" i="22" s="1"/>
  <c r="BR50" i="22" s="1"/>
  <c r="BR51" i="22" s="1"/>
  <c r="BR52" i="22" s="1"/>
  <c r="BR53" i="22" s="1"/>
  <c r="AQ9" i="22"/>
  <c r="AQ29" i="22"/>
  <c r="AQ30" i="22"/>
  <c r="AQ31" i="22" s="1"/>
  <c r="AQ32" i="22" s="1"/>
  <c r="AQ33" i="22" s="1"/>
  <c r="AQ34" i="22" s="1"/>
  <c r="AQ35" i="22" s="1"/>
  <c r="AQ36" i="22" s="1"/>
  <c r="AQ37" i="22" s="1"/>
  <c r="AQ38" i="22" s="1"/>
  <c r="AQ39" i="22" s="1"/>
  <c r="AQ40" i="22" s="1"/>
  <c r="AQ41" i="22" s="1"/>
  <c r="AQ42" i="22" s="1"/>
  <c r="AQ43" i="22" s="1"/>
  <c r="AQ44" i="22" s="1"/>
  <c r="AQ45" i="22" s="1"/>
  <c r="AQ46" i="22" s="1"/>
  <c r="AQ47" i="22" s="1"/>
  <c r="AQ48" i="22" s="1"/>
  <c r="AQ49" i="22" s="1"/>
  <c r="AQ50" i="22" s="1"/>
  <c r="AQ51" i="22" s="1"/>
  <c r="AQ52" i="22" s="1"/>
  <c r="AQ53" i="22" s="1"/>
  <c r="AQ54" i="22"/>
  <c r="AQ10" i="22" s="1"/>
  <c r="AQ11" i="22" s="1"/>
  <c r="AQ12" i="22" s="1"/>
  <c r="AQ13" i="22" s="1"/>
  <c r="AQ14" i="22" s="1"/>
  <c r="AQ15" i="22" s="1"/>
  <c r="AQ16" i="22" s="1"/>
  <c r="AQ17" i="22" s="1"/>
  <c r="AQ18" i="22" s="1"/>
  <c r="AQ19" i="22" s="1"/>
  <c r="AQ20" i="22" s="1"/>
  <c r="AQ21" i="22" s="1"/>
  <c r="AQ22" i="22" s="1"/>
  <c r="AQ23" i="22" s="1"/>
  <c r="AQ24" i="22" s="1"/>
  <c r="AQ25" i="22" s="1"/>
  <c r="AQ26" i="22" s="1"/>
  <c r="AQ27" i="22" s="1"/>
  <c r="AQ28" i="22" s="1"/>
  <c r="AC29" i="22"/>
  <c r="AD29" i="22"/>
  <c r="AE29" i="22"/>
  <c r="AF29" i="22"/>
  <c r="AG29" i="22"/>
  <c r="AH29" i="22"/>
  <c r="AB29" i="22"/>
  <c r="AC9" i="22"/>
  <c r="AD9" i="22"/>
  <c r="AE9" i="22"/>
  <c r="AF9" i="22"/>
  <c r="AG9" i="22"/>
  <c r="AH9" i="22"/>
  <c r="AB9" i="22"/>
  <c r="E66" i="29" l="1"/>
  <c r="E62" i="29"/>
  <c r="E58" i="29"/>
  <c r="E54" i="29"/>
  <c r="E50" i="29"/>
  <c r="E65" i="29"/>
  <c r="E61" i="29"/>
  <c r="E57" i="29"/>
  <c r="E53" i="29"/>
  <c r="E64" i="29"/>
  <c r="E60" i="29"/>
  <c r="E56" i="29"/>
  <c r="E52" i="29"/>
  <c r="E67" i="29"/>
  <c r="E63" i="29"/>
  <c r="E59" i="29"/>
  <c r="E55" i="29"/>
  <c r="E51" i="29"/>
  <c r="AZ54" i="22"/>
  <c r="AZ10" i="22" s="1"/>
  <c r="AZ11" i="22" s="1"/>
  <c r="AZ12" i="22" s="1"/>
  <c r="AZ13" i="22" s="1"/>
  <c r="AZ14" i="22" s="1"/>
  <c r="AZ15" i="22" s="1"/>
  <c r="AZ16" i="22" s="1"/>
  <c r="AZ17" i="22" s="1"/>
  <c r="AZ18" i="22" s="1"/>
  <c r="AZ19" i="22" s="1"/>
  <c r="AZ20" i="22" s="1"/>
  <c r="AZ21" i="22" s="1"/>
  <c r="AZ22" i="22" s="1"/>
  <c r="AZ23" i="22" s="1"/>
  <c r="AZ24" i="22" s="1"/>
  <c r="AZ25" i="22" s="1"/>
  <c r="AZ26" i="22" s="1"/>
  <c r="AZ27" i="22" s="1"/>
  <c r="AZ28" i="22" s="1"/>
  <c r="BR54" i="22"/>
  <c r="BR10" i="22" s="1"/>
  <c r="BR11" i="22" s="1"/>
  <c r="BR12" i="22" s="1"/>
  <c r="BR13" i="22" s="1"/>
  <c r="BR14" i="22" s="1"/>
  <c r="BR15" i="22" s="1"/>
  <c r="BR16" i="22" s="1"/>
  <c r="BR17" i="22" s="1"/>
  <c r="BR18" i="22" s="1"/>
  <c r="BR19" i="22" s="1"/>
  <c r="BR20" i="22" s="1"/>
  <c r="BR21" i="22" s="1"/>
  <c r="BR22" i="22" s="1"/>
  <c r="BR23" i="22" s="1"/>
  <c r="BR24" i="22" s="1"/>
  <c r="BR25" i="22" s="1"/>
  <c r="BR26" i="22" s="1"/>
  <c r="BR27" i="22" s="1"/>
  <c r="BR28" i="22" s="1"/>
  <c r="AH30" i="22" l="1"/>
  <c r="AH31" i="22" s="1"/>
  <c r="AH32" i="22" s="1"/>
  <c r="AH33" i="22" s="1"/>
  <c r="AH34" i="22" s="1"/>
  <c r="AH35" i="22" s="1"/>
  <c r="AH36" i="22" s="1"/>
  <c r="AH37" i="22" s="1"/>
  <c r="AH38" i="22" s="1"/>
  <c r="AH39" i="22" s="1"/>
  <c r="AH40" i="22" s="1"/>
  <c r="AH41" i="22" s="1"/>
  <c r="AH42" i="22" s="1"/>
  <c r="AH43" i="22" s="1"/>
  <c r="AH44" i="22" s="1"/>
  <c r="AH45" i="22" s="1"/>
  <c r="AH46" i="22" s="1"/>
  <c r="AH47" i="22" s="1"/>
  <c r="AH48" i="22" s="1"/>
  <c r="AH49" i="22" s="1"/>
  <c r="AH50" i="22" s="1"/>
  <c r="AH51" i="22" s="1"/>
  <c r="AH52" i="22" s="1"/>
  <c r="AH53" i="22" s="1"/>
  <c r="AH10" i="22"/>
  <c r="AH11" i="22" s="1"/>
  <c r="AH12" i="22" s="1"/>
  <c r="AH13" i="22" s="1"/>
  <c r="AH14" i="22" s="1"/>
  <c r="AH15" i="22" s="1"/>
  <c r="AH16" i="22" s="1"/>
  <c r="AH17" i="22" s="1"/>
  <c r="AH18" i="22" s="1"/>
  <c r="AH19" i="22" s="1"/>
  <c r="AH20" i="22" s="1"/>
  <c r="AH21" i="22" s="1"/>
  <c r="AH22" i="22" s="1"/>
  <c r="AH23" i="22" s="1"/>
  <c r="AH24" i="22" s="1"/>
  <c r="AH25" i="22" s="1"/>
  <c r="AH26" i="22" s="1"/>
  <c r="AH27" i="22" s="1"/>
  <c r="AH28" i="22" s="1"/>
  <c r="AH54" i="22"/>
  <c r="G9" i="24"/>
  <c r="F9" i="24" l="1"/>
  <c r="E9" i="24"/>
  <c r="L13" i="24" l="1"/>
  <c r="L12" i="24"/>
  <c r="L11" i="24"/>
  <c r="L9" i="24"/>
  <c r="L8" i="24"/>
  <c r="C14" i="24" l="1"/>
  <c r="C15" i="24" s="1"/>
  <c r="P9" i="24" s="1"/>
  <c r="D14" i="24"/>
  <c r="D15" i="24" s="1"/>
  <c r="P10" i="24" s="1"/>
  <c r="E14" i="24"/>
  <c r="E15" i="24" s="1"/>
  <c r="P11" i="24" s="1"/>
  <c r="F14" i="24"/>
  <c r="F15" i="24" s="1"/>
  <c r="P12" i="24" s="1"/>
  <c r="G14" i="24"/>
  <c r="G15" i="24" s="1"/>
  <c r="H14" i="24"/>
  <c r="H15" i="24" s="1"/>
  <c r="P14" i="24" s="1"/>
  <c r="I14" i="24"/>
  <c r="J14" i="24"/>
  <c r="K14" i="24"/>
  <c r="B14" i="24"/>
  <c r="B15" i="24" s="1"/>
  <c r="P8" i="24" s="1"/>
  <c r="K15" i="24" l="1"/>
  <c r="P17" i="24" s="1"/>
  <c r="J15" i="24"/>
  <c r="P16" i="24" s="1"/>
  <c r="I15" i="24"/>
  <c r="P15" i="24" s="1"/>
  <c r="L14" i="24"/>
  <c r="J32" i="25"/>
  <c r="I32" i="25"/>
  <c r="H32" i="25"/>
  <c r="D32" i="25"/>
  <c r="C32" i="25"/>
  <c r="B32" i="25"/>
  <c r="J21" i="25"/>
  <c r="I21" i="25"/>
  <c r="H21" i="25"/>
  <c r="D21" i="25"/>
  <c r="C21" i="25"/>
  <c r="B21" i="25"/>
  <c r="J10" i="25"/>
  <c r="I10" i="25"/>
  <c r="H10" i="25"/>
  <c r="D10" i="25"/>
  <c r="C10" i="25"/>
  <c r="B10" i="25"/>
  <c r="L15" i="24" l="1"/>
  <c r="P13" i="24"/>
  <c r="N82" i="20"/>
  <c r="N77" i="20"/>
  <c r="N78" i="20"/>
  <c r="N79" i="20"/>
  <c r="N80" i="20"/>
  <c r="N81" i="20"/>
  <c r="B42" i="29"/>
  <c r="C42" i="29"/>
  <c r="D42" i="29"/>
  <c r="I42" i="29" s="1"/>
  <c r="F42" i="29"/>
  <c r="G42" i="29"/>
  <c r="L42" i="29" s="1"/>
  <c r="J42" i="29"/>
  <c r="K42" i="29"/>
  <c r="N42" i="31"/>
  <c r="J42" i="31"/>
  <c r="F42" i="31"/>
  <c r="B42" i="31"/>
  <c r="B41" i="31"/>
  <c r="F41" i="31"/>
  <c r="J41" i="31"/>
  <c r="N41" i="31"/>
  <c r="E41" i="30"/>
  <c r="B41" i="27"/>
  <c r="I43" i="19"/>
  <c r="H43" i="19"/>
  <c r="D43" i="19"/>
  <c r="E43" i="19"/>
  <c r="F43" i="19"/>
  <c r="G43" i="19"/>
  <c r="C43" i="19"/>
  <c r="B43" i="19"/>
  <c r="I87" i="19"/>
  <c r="H87" i="19"/>
  <c r="D87" i="19"/>
  <c r="E87" i="19"/>
  <c r="F87" i="19"/>
  <c r="G87" i="19"/>
  <c r="C87" i="19"/>
  <c r="B87" i="19"/>
  <c r="B86" i="19"/>
  <c r="C86" i="19"/>
  <c r="F86" i="19" s="1"/>
  <c r="G86" i="19" s="1"/>
  <c r="D86" i="19"/>
  <c r="E86" i="19"/>
  <c r="H86" i="19"/>
  <c r="I86" i="19"/>
  <c r="B42" i="19"/>
  <c r="C42" i="19"/>
  <c r="D42" i="19"/>
  <c r="E42" i="19"/>
  <c r="H42" i="19"/>
  <c r="I42" i="19"/>
  <c r="C130" i="18"/>
  <c r="D130" i="18"/>
  <c r="E130" i="18"/>
  <c r="F130" i="18"/>
  <c r="G130" i="18"/>
  <c r="H130" i="18"/>
  <c r="I130" i="18"/>
  <c r="J130" i="18"/>
  <c r="K130" i="18"/>
  <c r="L130" i="18"/>
  <c r="B130" i="18"/>
  <c r="B129" i="18"/>
  <c r="C129" i="18"/>
  <c r="D129" i="18"/>
  <c r="E129" i="18"/>
  <c r="F129" i="18"/>
  <c r="G129" i="18"/>
  <c r="H129" i="18"/>
  <c r="I129" i="18"/>
  <c r="J129" i="18"/>
  <c r="K129" i="18"/>
  <c r="L129" i="18"/>
  <c r="C11" i="18"/>
  <c r="D11" i="18"/>
  <c r="I11" i="18" s="1"/>
  <c r="B12" i="18"/>
  <c r="B13" i="18"/>
  <c r="D13" i="18" s="1"/>
  <c r="I13" i="18" s="1"/>
  <c r="C13" i="18"/>
  <c r="E13" i="18" s="1"/>
  <c r="G13" i="18" s="1"/>
  <c r="B14" i="18"/>
  <c r="C14" i="18" s="1"/>
  <c r="E14" i="18" s="1"/>
  <c r="B15" i="18"/>
  <c r="C15" i="18" s="1"/>
  <c r="E15" i="18" s="1"/>
  <c r="D15" i="18"/>
  <c r="I15" i="18" s="1"/>
  <c r="L15" i="18" s="1"/>
  <c r="B16" i="18"/>
  <c r="B17" i="18"/>
  <c r="D17" i="18" s="1"/>
  <c r="I17" i="18" s="1"/>
  <c r="L17" i="18" s="1"/>
  <c r="J17" i="18"/>
  <c r="B18" i="18"/>
  <c r="C18" i="18" s="1"/>
  <c r="E18" i="18" s="1"/>
  <c r="F18" i="18" s="1"/>
  <c r="B19" i="18"/>
  <c r="C19" i="18" s="1"/>
  <c r="E19" i="18" s="1"/>
  <c r="B20" i="18"/>
  <c r="B21" i="18"/>
  <c r="C21" i="18"/>
  <c r="E21" i="18" s="1"/>
  <c r="H21" i="18" s="1"/>
  <c r="H42" i="29" l="1"/>
  <c r="F42" i="19"/>
  <c r="G42" i="19" s="1"/>
  <c r="D19" i="18"/>
  <c r="I19" i="18" s="1"/>
  <c r="K19" i="18" s="1"/>
  <c r="D18" i="18"/>
  <c r="I18" i="18" s="1"/>
  <c r="J18" i="18" s="1"/>
  <c r="G21" i="18"/>
  <c r="D14" i="18"/>
  <c r="I14" i="18" s="1"/>
  <c r="J14" i="18" s="1"/>
  <c r="F21" i="18"/>
  <c r="K18" i="18"/>
  <c r="K17" i="18"/>
  <c r="C17" i="18"/>
  <c r="E17" i="18" s="1"/>
  <c r="K11" i="18"/>
  <c r="J11" i="18"/>
  <c r="L11" i="18"/>
  <c r="E11" i="18"/>
  <c r="F15" i="18"/>
  <c r="G15" i="18"/>
  <c r="H15" i="18"/>
  <c r="C20" i="18"/>
  <c r="E20" i="18" s="1"/>
  <c r="D20" i="18"/>
  <c r="I20" i="18" s="1"/>
  <c r="F19" i="18"/>
  <c r="G19" i="18"/>
  <c r="C16" i="18"/>
  <c r="E16" i="18" s="1"/>
  <c r="D16" i="18"/>
  <c r="I16" i="18" s="1"/>
  <c r="H18" i="18"/>
  <c r="G14" i="18"/>
  <c r="F14" i="18"/>
  <c r="H13" i="18"/>
  <c r="F13" i="18"/>
  <c r="C12" i="18"/>
  <c r="E12" i="18" s="1"/>
  <c r="D12" i="18"/>
  <c r="I12" i="18" s="1"/>
  <c r="G18" i="18"/>
  <c r="J15" i="18"/>
  <c r="K15" i="18"/>
  <c r="L13" i="18"/>
  <c r="J13" i="18"/>
  <c r="D21" i="18"/>
  <c r="I21" i="18" s="1"/>
  <c r="B22" i="18"/>
  <c r="H19" i="18"/>
  <c r="H14" i="18"/>
  <c r="K13" i="18"/>
  <c r="K32" i="25"/>
  <c r="H31" i="25"/>
  <c r="I31" i="25" s="1"/>
  <c r="H30" i="25"/>
  <c r="I30" i="25" s="1"/>
  <c r="H29" i="25"/>
  <c r="I29" i="25" s="1"/>
  <c r="I28" i="25"/>
  <c r="H27" i="25"/>
  <c r="I27" i="25" s="1"/>
  <c r="H26" i="25"/>
  <c r="I26" i="25" s="1"/>
  <c r="H25" i="25"/>
  <c r="I25" i="25" s="1"/>
  <c r="E32" i="25"/>
  <c r="C31" i="25"/>
  <c r="D31" i="25" s="1"/>
  <c r="C30" i="25"/>
  <c r="D30" i="25" s="1"/>
  <c r="C29" i="25"/>
  <c r="C28" i="25"/>
  <c r="D28" i="25" s="1"/>
  <c r="C27" i="25"/>
  <c r="D27" i="25" s="1"/>
  <c r="C26" i="25"/>
  <c r="D26" i="25" s="1"/>
  <c r="C25" i="25"/>
  <c r="D25" i="25" s="1"/>
  <c r="K21" i="25"/>
  <c r="H20" i="25"/>
  <c r="I20" i="25" s="1"/>
  <c r="H19" i="25"/>
  <c r="I19" i="25" s="1"/>
  <c r="H18" i="25"/>
  <c r="I18" i="25" s="1"/>
  <c r="I17" i="25"/>
  <c r="H16" i="25"/>
  <c r="I16" i="25" s="1"/>
  <c r="H15" i="25"/>
  <c r="H14" i="25"/>
  <c r="I14" i="25" s="1"/>
  <c r="E21" i="25"/>
  <c r="C20" i="25"/>
  <c r="D20" i="25" s="1"/>
  <c r="C19" i="25"/>
  <c r="D19" i="25" s="1"/>
  <c r="C18" i="25"/>
  <c r="C17" i="25"/>
  <c r="D17" i="25" s="1"/>
  <c r="C16" i="25"/>
  <c r="D16" i="25" s="1"/>
  <c r="C15" i="25"/>
  <c r="D15" i="25" s="1"/>
  <c r="C14" i="25"/>
  <c r="D14" i="25" s="1"/>
  <c r="K10" i="25"/>
  <c r="H9" i="25"/>
  <c r="I9" i="25" s="1"/>
  <c r="H8" i="25"/>
  <c r="I8" i="25" s="1"/>
  <c r="H7" i="25"/>
  <c r="I6" i="25"/>
  <c r="H5" i="25"/>
  <c r="I5" i="25" s="1"/>
  <c r="H4" i="25"/>
  <c r="I4" i="25" s="1"/>
  <c r="H3" i="25"/>
  <c r="I3" i="25" s="1"/>
  <c r="E10" i="25"/>
  <c r="C9" i="25"/>
  <c r="D9" i="25" s="1"/>
  <c r="C8" i="25"/>
  <c r="D8" i="25" s="1"/>
  <c r="D7" i="25"/>
  <c r="C6" i="25"/>
  <c r="D6" i="25" s="1"/>
  <c r="C5" i="25"/>
  <c r="D5" i="25" s="1"/>
  <c r="C4" i="25"/>
  <c r="C3" i="25"/>
  <c r="D3" i="25" s="1"/>
  <c r="D8" i="23"/>
  <c r="D9" i="23"/>
  <c r="C8" i="23"/>
  <c r="C9" i="23"/>
  <c r="B9" i="23"/>
  <c r="B8" i="23"/>
  <c r="B21" i="23"/>
  <c r="D17" i="23"/>
  <c r="B17" i="23"/>
  <c r="C17" i="23"/>
  <c r="K14" i="18" l="1"/>
  <c r="L14" i="18"/>
  <c r="J19" i="18"/>
  <c r="L19" i="18"/>
  <c r="L18" i="18"/>
  <c r="H17" i="18"/>
  <c r="F17" i="18"/>
  <c r="G17" i="18"/>
  <c r="F11" i="18"/>
  <c r="H11" i="18"/>
  <c r="G11" i="18"/>
  <c r="K16" i="18"/>
  <c r="L16" i="18"/>
  <c r="J16" i="18"/>
  <c r="L21" i="18"/>
  <c r="J21" i="18"/>
  <c r="K21" i="18"/>
  <c r="G12" i="18"/>
  <c r="H12" i="18"/>
  <c r="F12" i="18"/>
  <c r="K20" i="18"/>
  <c r="L20" i="18"/>
  <c r="J20" i="18"/>
  <c r="G16" i="18"/>
  <c r="H16" i="18"/>
  <c r="F16" i="18"/>
  <c r="G20" i="18"/>
  <c r="H20" i="18"/>
  <c r="F20" i="18"/>
  <c r="B23" i="18"/>
  <c r="C22" i="18"/>
  <c r="E22" i="18" s="1"/>
  <c r="D22" i="18"/>
  <c r="I22" i="18" s="1"/>
  <c r="K12" i="18"/>
  <c r="L12" i="18"/>
  <c r="J12" i="18"/>
  <c r="D29" i="25"/>
  <c r="I15" i="25"/>
  <c r="D18" i="25"/>
  <c r="I7" i="25"/>
  <c r="D4" i="25"/>
  <c r="N41" i="20"/>
  <c r="N42" i="20"/>
  <c r="N43" i="20"/>
  <c r="N44" i="20"/>
  <c r="N45" i="20"/>
  <c r="N46" i="20"/>
  <c r="N47" i="20"/>
  <c r="N48" i="20"/>
  <c r="N49" i="20"/>
  <c r="N50" i="20"/>
  <c r="N51" i="20"/>
  <c r="N52" i="20"/>
  <c r="N53" i="20"/>
  <c r="N54" i="20"/>
  <c r="N55" i="20"/>
  <c r="N56" i="20"/>
  <c r="N57" i="20"/>
  <c r="N58" i="20"/>
  <c r="N59" i="20"/>
  <c r="N60" i="20"/>
  <c r="N61" i="20"/>
  <c r="N62" i="20"/>
  <c r="N63" i="20"/>
  <c r="N64" i="20"/>
  <c r="N65" i="20"/>
  <c r="N66" i="20"/>
  <c r="N67" i="20"/>
  <c r="N68" i="20"/>
  <c r="N69" i="20"/>
  <c r="N70" i="20"/>
  <c r="N71" i="20"/>
  <c r="N72" i="20"/>
  <c r="N73" i="20"/>
  <c r="N74" i="20"/>
  <c r="N75" i="20"/>
  <c r="N76" i="20"/>
  <c r="N40" i="20"/>
  <c r="C23" i="18" l="1"/>
  <c r="E23" i="18" s="1"/>
  <c r="D23" i="18"/>
  <c r="I23" i="18" s="1"/>
  <c r="B24" i="18"/>
  <c r="J22" i="18"/>
  <c r="K22" i="18"/>
  <c r="L22" i="18"/>
  <c r="F22" i="18"/>
  <c r="G22" i="18"/>
  <c r="H22" i="18"/>
  <c r="M12" i="20"/>
  <c r="P12" i="20"/>
  <c r="O102" i="20"/>
  <c r="O89" i="20"/>
  <c r="B4" i="33"/>
  <c r="B6" i="33"/>
  <c r="G6" i="33" s="1"/>
  <c r="B47" i="18"/>
  <c r="D3" i="18"/>
  <c r="I3" i="18" s="1"/>
  <c r="B11" i="33"/>
  <c r="G11" i="33" s="1"/>
  <c r="B10" i="33"/>
  <c r="G10" i="33" s="1"/>
  <c r="B12" i="33"/>
  <c r="G12" i="33" s="1"/>
  <c r="N33" i="20"/>
  <c r="M18" i="20"/>
  <c r="O18" i="20" s="1"/>
  <c r="M17" i="20"/>
  <c r="O17" i="20"/>
  <c r="M13" i="20"/>
  <c r="B41" i="30" s="1"/>
  <c r="H41" i="30" s="1"/>
  <c r="O6" i="20"/>
  <c r="M6" i="20"/>
  <c r="E41" i="20"/>
  <c r="O33" i="20" s="1"/>
  <c r="P92" i="20"/>
  <c r="P93" i="20"/>
  <c r="P94" i="20"/>
  <c r="P95" i="20"/>
  <c r="P96" i="20"/>
  <c r="P97" i="20"/>
  <c r="P98" i="20"/>
  <c r="M29" i="20"/>
  <c r="B10" i="23"/>
  <c r="B23" i="21"/>
  <c r="E44" i="20"/>
  <c r="O36" i="20" s="1"/>
  <c r="E43" i="20"/>
  <c r="O35" i="20" s="1"/>
  <c r="E42" i="20"/>
  <c r="O34" i="20" s="1"/>
  <c r="D21" i="28"/>
  <c r="D23" i="28" s="1"/>
  <c r="D28" i="28"/>
  <c r="G29" i="28"/>
  <c r="G28" i="28" s="1"/>
  <c r="C28" i="28"/>
  <c r="B28" i="28"/>
  <c r="C34" i="28"/>
  <c r="B34" i="28"/>
  <c r="D17" i="28"/>
  <c r="D16" i="28"/>
  <c r="C17" i="28"/>
  <c r="B8" i="28"/>
  <c r="B16" i="28"/>
  <c r="B17" i="28"/>
  <c r="B5" i="28"/>
  <c r="BV29" i="22"/>
  <c r="BV30" i="22" s="1"/>
  <c r="BW29" i="22"/>
  <c r="BW30" i="22" s="1"/>
  <c r="BW31" i="22" s="1"/>
  <c r="BW32" i="22" s="1"/>
  <c r="BW33" i="22" s="1"/>
  <c r="BW34" i="22" s="1"/>
  <c r="BW35" i="22" s="1"/>
  <c r="BW36" i="22" s="1"/>
  <c r="BW37" i="22" s="1"/>
  <c r="BW38" i="22" s="1"/>
  <c r="BW39" i="22" s="1"/>
  <c r="BW40" i="22" s="1"/>
  <c r="BW41" i="22" s="1"/>
  <c r="BW42" i="22" s="1"/>
  <c r="BW43" i="22" s="1"/>
  <c r="BW44" i="22" s="1"/>
  <c r="BW45" i="22" s="1"/>
  <c r="BW46" i="22" s="1"/>
  <c r="BW47" i="22" s="1"/>
  <c r="BW48" i="22" s="1"/>
  <c r="BW49" i="22" s="1"/>
  <c r="BW50" i="22" s="1"/>
  <c r="BW51" i="22" s="1"/>
  <c r="BW52" i="22" s="1"/>
  <c r="BW53" i="22" s="1"/>
  <c r="BX29" i="22"/>
  <c r="BX30" i="22" s="1"/>
  <c r="BX31" i="22" s="1"/>
  <c r="BX32" i="22" s="1"/>
  <c r="BY29" i="22"/>
  <c r="BZ29" i="22"/>
  <c r="BU29" i="22"/>
  <c r="BV9" i="22"/>
  <c r="BW9" i="22"/>
  <c r="BX9" i="22"/>
  <c r="BY9" i="22"/>
  <c r="BZ9" i="22"/>
  <c r="BU9" i="22"/>
  <c r="BM29" i="22"/>
  <c r="BN29" i="22"/>
  <c r="BO29" i="22"/>
  <c r="BO30" i="22" s="1"/>
  <c r="BO31" i="22" s="1"/>
  <c r="BO32" i="22" s="1"/>
  <c r="BO33" i="22" s="1"/>
  <c r="BO34" i="22" s="1"/>
  <c r="BO35" i="22" s="1"/>
  <c r="BO36" i="22" s="1"/>
  <c r="BO37" i="22" s="1"/>
  <c r="BO38" i="22" s="1"/>
  <c r="BO39" i="22" s="1"/>
  <c r="BO40" i="22" s="1"/>
  <c r="BO41" i="22" s="1"/>
  <c r="BO42" i="22" s="1"/>
  <c r="BO43" i="22" s="1"/>
  <c r="BO44" i="22" s="1"/>
  <c r="BO45" i="22" s="1"/>
  <c r="BO46" i="22" s="1"/>
  <c r="BO47" i="22" s="1"/>
  <c r="BO48" i="22" s="1"/>
  <c r="BO49" i="22" s="1"/>
  <c r="BO50" i="22" s="1"/>
  <c r="BO51" i="22" s="1"/>
  <c r="BO52" i="22" s="1"/>
  <c r="BO53" i="22" s="1"/>
  <c r="BP29" i="22"/>
  <c r="BQ29" i="22"/>
  <c r="BQ30" i="22" s="1"/>
  <c r="BQ31" i="22" s="1"/>
  <c r="BQ32" i="22" s="1"/>
  <c r="BQ33" i="22" s="1"/>
  <c r="BQ34" i="22" s="1"/>
  <c r="BQ35" i="22" s="1"/>
  <c r="BQ36" i="22" s="1"/>
  <c r="BQ37" i="22" s="1"/>
  <c r="BQ38" i="22" s="1"/>
  <c r="BQ39" i="22" s="1"/>
  <c r="BQ40" i="22" s="1"/>
  <c r="BQ41" i="22" s="1"/>
  <c r="BQ42" i="22" s="1"/>
  <c r="BQ43" i="22" s="1"/>
  <c r="BQ44" i="22" s="1"/>
  <c r="BQ45" i="22" s="1"/>
  <c r="BQ46" i="22" s="1"/>
  <c r="BQ47" i="22" s="1"/>
  <c r="BQ48" i="22" s="1"/>
  <c r="BQ49" i="22" s="1"/>
  <c r="BQ50" i="22" s="1"/>
  <c r="BQ51" i="22" s="1"/>
  <c r="BQ52" i="22" s="1"/>
  <c r="BQ53" i="22" s="1"/>
  <c r="BL29" i="22"/>
  <c r="BL30" i="22" s="1"/>
  <c r="BL31" i="22" s="1"/>
  <c r="BL32" i="22" s="1"/>
  <c r="BL33" i="22" s="1"/>
  <c r="BL34" i="22" s="1"/>
  <c r="BL35" i="22" s="1"/>
  <c r="BL36" i="22" s="1"/>
  <c r="BL37" i="22" s="1"/>
  <c r="BL38" i="22" s="1"/>
  <c r="BL39" i="22" s="1"/>
  <c r="BL40" i="22" s="1"/>
  <c r="BL41" i="22" s="1"/>
  <c r="BL42" i="22" s="1"/>
  <c r="BL43" i="22" s="1"/>
  <c r="BL44" i="22" s="1"/>
  <c r="BL45" i="22" s="1"/>
  <c r="BL46" i="22" s="1"/>
  <c r="BL47" i="22" s="1"/>
  <c r="BL48" i="22" s="1"/>
  <c r="BL49" i="22" s="1"/>
  <c r="BL50" i="22" s="1"/>
  <c r="BL51" i="22" s="1"/>
  <c r="BL52" i="22" s="1"/>
  <c r="BL53" i="22" s="1"/>
  <c r="BM9" i="22"/>
  <c r="BN9" i="22"/>
  <c r="BO9" i="22"/>
  <c r="BP9" i="22"/>
  <c r="BQ9" i="22"/>
  <c r="BL9" i="22"/>
  <c r="BD30" i="22"/>
  <c r="BD31" i="22" s="1"/>
  <c r="BD32" i="22" s="1"/>
  <c r="BD33" i="22" s="1"/>
  <c r="BD34" i="22" s="1"/>
  <c r="BD35" i="22" s="1"/>
  <c r="BD36" i="22" s="1"/>
  <c r="BD37" i="22" s="1"/>
  <c r="BD38" i="22" s="1"/>
  <c r="BD39" i="22" s="1"/>
  <c r="BD40" i="22" s="1"/>
  <c r="BD41" i="22" s="1"/>
  <c r="BD42" i="22" s="1"/>
  <c r="BD43" i="22" s="1"/>
  <c r="BD44" i="22" s="1"/>
  <c r="BD45" i="22" s="1"/>
  <c r="BD46" i="22" s="1"/>
  <c r="BD47" i="22" s="1"/>
  <c r="BD48" i="22" s="1"/>
  <c r="BD49" i="22" s="1"/>
  <c r="BD50" i="22" s="1"/>
  <c r="BD51" i="22" s="1"/>
  <c r="BD52" i="22" s="1"/>
  <c r="BD53" i="22" s="1"/>
  <c r="BE30" i="22"/>
  <c r="BE31" i="22" s="1"/>
  <c r="BE32" i="22" s="1"/>
  <c r="BE33" i="22" s="1"/>
  <c r="BE34" i="22" s="1"/>
  <c r="BE35" i="22" s="1"/>
  <c r="BE36" i="22" s="1"/>
  <c r="BE37" i="22" s="1"/>
  <c r="BE38" i="22" s="1"/>
  <c r="BE39" i="22" s="1"/>
  <c r="BE40" i="22" s="1"/>
  <c r="BE41" i="22" s="1"/>
  <c r="BE42" i="22" s="1"/>
  <c r="BE43" i="22" s="1"/>
  <c r="BE44" i="22" s="1"/>
  <c r="BE45" i="22" s="1"/>
  <c r="BE46" i="22" s="1"/>
  <c r="BE47" i="22" s="1"/>
  <c r="BE48" i="22" s="1"/>
  <c r="BE49" i="22" s="1"/>
  <c r="BE50" i="22" s="1"/>
  <c r="BE51" i="22" s="1"/>
  <c r="BE52" i="22" s="1"/>
  <c r="BE53" i="22" s="1"/>
  <c r="BG30" i="22"/>
  <c r="BG31" i="22" s="1"/>
  <c r="BG32" i="22" s="1"/>
  <c r="BG33" i="22" s="1"/>
  <c r="BG34" i="22" s="1"/>
  <c r="BG35" i="22" s="1"/>
  <c r="BG36" i="22" s="1"/>
  <c r="BG37" i="22" s="1"/>
  <c r="BG38" i="22" s="1"/>
  <c r="BG39" i="22" s="1"/>
  <c r="BG40" i="22" s="1"/>
  <c r="BG41" i="22" s="1"/>
  <c r="BG42" i="22" s="1"/>
  <c r="BG43" i="22" s="1"/>
  <c r="BG44" i="22" s="1"/>
  <c r="BG45" i="22" s="1"/>
  <c r="BG46" i="22" s="1"/>
  <c r="BG47" i="22" s="1"/>
  <c r="BG48" i="22" s="1"/>
  <c r="BG49" i="22" s="1"/>
  <c r="BG50" i="22" s="1"/>
  <c r="BG51" i="22" s="1"/>
  <c r="BG52" i="22" s="1"/>
  <c r="BG53" i="22" s="1"/>
  <c r="BC30" i="22"/>
  <c r="BC31" i="22" s="1"/>
  <c r="BC32" i="22" s="1"/>
  <c r="BC33" i="22" s="1"/>
  <c r="BC34" i="22" s="1"/>
  <c r="BC35" i="22" s="1"/>
  <c r="BC36" i="22" s="1"/>
  <c r="BC37" i="22" s="1"/>
  <c r="BC38" i="22" s="1"/>
  <c r="BC39" i="22" s="1"/>
  <c r="BC40" i="22" s="1"/>
  <c r="BC41" i="22" s="1"/>
  <c r="BC42" i="22" s="1"/>
  <c r="BC43" i="22" s="1"/>
  <c r="BC44" i="22" s="1"/>
  <c r="BC45" i="22" s="1"/>
  <c r="BC46" i="22" s="1"/>
  <c r="BC47" i="22" s="1"/>
  <c r="BC48" i="22" s="1"/>
  <c r="BC49" i="22" s="1"/>
  <c r="BC50" i="22" s="1"/>
  <c r="BC51" i="22" s="1"/>
  <c r="BC52" i="22" s="1"/>
  <c r="BC53" i="22" s="1"/>
  <c r="BE54" i="22"/>
  <c r="BE10" i="22" s="1"/>
  <c r="BE11" i="22" s="1"/>
  <c r="BE12" i="22" s="1"/>
  <c r="BE13" i="22" s="1"/>
  <c r="BE14" i="22" s="1"/>
  <c r="BE15" i="22" s="1"/>
  <c r="BE16" i="22" s="1"/>
  <c r="BE17" i="22" s="1"/>
  <c r="BE18" i="22" s="1"/>
  <c r="BE19" i="22" s="1"/>
  <c r="BE20" i="22" s="1"/>
  <c r="BE21" i="22" s="1"/>
  <c r="BE22" i="22" s="1"/>
  <c r="BE23" i="22" s="1"/>
  <c r="BE24" i="22" s="1"/>
  <c r="BE25" i="22" s="1"/>
  <c r="BE26" i="22" s="1"/>
  <c r="BE27" i="22" s="1"/>
  <c r="BE28" i="22" s="1"/>
  <c r="AU30" i="22"/>
  <c r="AU31" i="22" s="1"/>
  <c r="AU32" i="22" s="1"/>
  <c r="AU33" i="22" s="1"/>
  <c r="AU34" i="22" s="1"/>
  <c r="AU35" i="22" s="1"/>
  <c r="AU36" i="22" s="1"/>
  <c r="AU37" i="22" s="1"/>
  <c r="AU38" i="22" s="1"/>
  <c r="AU39" i="22" s="1"/>
  <c r="AU40" i="22" s="1"/>
  <c r="AU41" i="22" s="1"/>
  <c r="AU42" i="22" s="1"/>
  <c r="AU43" i="22" s="1"/>
  <c r="AU44" i="22" s="1"/>
  <c r="AU45" i="22" s="1"/>
  <c r="AU46" i="22" s="1"/>
  <c r="AU47" i="22" s="1"/>
  <c r="AU48" i="22" s="1"/>
  <c r="AU49" i="22" s="1"/>
  <c r="AU50" i="22" s="1"/>
  <c r="AU51" i="22" s="1"/>
  <c r="AU52" i="22" s="1"/>
  <c r="AU53" i="22" s="1"/>
  <c r="AV54" i="22"/>
  <c r="AV10" i="22" s="1"/>
  <c r="AV11" i="22" s="1"/>
  <c r="AV12" i="22" s="1"/>
  <c r="AV13" i="22" s="1"/>
  <c r="AV14" i="22" s="1"/>
  <c r="AV15" i="22" s="1"/>
  <c r="AV16" i="22" s="1"/>
  <c r="AV17" i="22" s="1"/>
  <c r="AV18" i="22" s="1"/>
  <c r="AV19" i="22" s="1"/>
  <c r="AV20" i="22" s="1"/>
  <c r="AV21" i="22" s="1"/>
  <c r="AV22" i="22" s="1"/>
  <c r="AV23" i="22" s="1"/>
  <c r="AV24" i="22" s="1"/>
  <c r="AV25" i="22" s="1"/>
  <c r="AV26" i="22" s="1"/>
  <c r="AV27" i="22" s="1"/>
  <c r="AV28" i="22" s="1"/>
  <c r="AY30" i="22"/>
  <c r="AY31" i="22" s="1"/>
  <c r="AY32" i="22" s="1"/>
  <c r="AY33" i="22" s="1"/>
  <c r="AY34" i="22" s="1"/>
  <c r="AY35" i="22" s="1"/>
  <c r="AY36" i="22" s="1"/>
  <c r="AY37" i="22" s="1"/>
  <c r="AY38" i="22" s="1"/>
  <c r="AY39" i="22" s="1"/>
  <c r="AY40" i="22" s="1"/>
  <c r="AY41" i="22" s="1"/>
  <c r="AY42" i="22" s="1"/>
  <c r="AY43" i="22" s="1"/>
  <c r="AY44" i="22" s="1"/>
  <c r="AY45" i="22" s="1"/>
  <c r="AY46" i="22" s="1"/>
  <c r="AY47" i="22" s="1"/>
  <c r="AY48" i="22" s="1"/>
  <c r="AY49" i="22" s="1"/>
  <c r="AY50" i="22" s="1"/>
  <c r="AY51" i="22" s="1"/>
  <c r="AY52" i="22" s="1"/>
  <c r="AY53" i="22" s="1"/>
  <c r="AT30" i="22"/>
  <c r="AT31" i="22" s="1"/>
  <c r="AT32" i="22" s="1"/>
  <c r="AT33" i="22" s="1"/>
  <c r="AT34" i="22" s="1"/>
  <c r="AT35" i="22" s="1"/>
  <c r="AT36" i="22" s="1"/>
  <c r="AT37" i="22" s="1"/>
  <c r="AT38" i="22" s="1"/>
  <c r="AT39" i="22" s="1"/>
  <c r="AT40" i="22" s="1"/>
  <c r="AT41" i="22" s="1"/>
  <c r="AT42" i="22" s="1"/>
  <c r="AT43" i="22" s="1"/>
  <c r="AT44" i="22" s="1"/>
  <c r="AT45" i="22" s="1"/>
  <c r="AT46" i="22" s="1"/>
  <c r="AT47" i="22" s="1"/>
  <c r="AT48" i="22" s="1"/>
  <c r="AT49" i="22" s="1"/>
  <c r="AT50" i="22" s="1"/>
  <c r="AT51" i="22" s="1"/>
  <c r="AT52" i="22" s="1"/>
  <c r="AT53" i="22" s="1"/>
  <c r="AL29" i="22"/>
  <c r="AL30" i="22" s="1"/>
  <c r="AL31" i="22" s="1"/>
  <c r="AL32" i="22" s="1"/>
  <c r="AL33" i="22" s="1"/>
  <c r="AL34" i="22" s="1"/>
  <c r="AL35" i="22" s="1"/>
  <c r="AL36" i="22" s="1"/>
  <c r="AL37" i="22" s="1"/>
  <c r="AL38" i="22" s="1"/>
  <c r="AL39" i="22" s="1"/>
  <c r="AL40" i="22" s="1"/>
  <c r="AL41" i="22" s="1"/>
  <c r="AL42" i="22" s="1"/>
  <c r="AL43" i="22" s="1"/>
  <c r="AL44" i="22" s="1"/>
  <c r="AL45" i="22" s="1"/>
  <c r="AL46" i="22" s="1"/>
  <c r="AL47" i="22" s="1"/>
  <c r="AL48" i="22" s="1"/>
  <c r="AL49" i="22" s="1"/>
  <c r="AL50" i="22" s="1"/>
  <c r="AL51" i="22" s="1"/>
  <c r="AL52" i="22" s="1"/>
  <c r="AL53" i="22" s="1"/>
  <c r="AM29" i="22"/>
  <c r="AM30" i="22" s="1"/>
  <c r="AM31" i="22" s="1"/>
  <c r="AM32" i="22" s="1"/>
  <c r="AM33" i="22" s="1"/>
  <c r="AM34" i="22" s="1"/>
  <c r="AM35" i="22" s="1"/>
  <c r="AM36" i="22" s="1"/>
  <c r="AM37" i="22" s="1"/>
  <c r="AM38" i="22" s="1"/>
  <c r="AM39" i="22" s="1"/>
  <c r="AM40" i="22" s="1"/>
  <c r="AM41" i="22" s="1"/>
  <c r="AM42" i="22" s="1"/>
  <c r="AM43" i="22" s="1"/>
  <c r="AM44" i="22" s="1"/>
  <c r="AM45" i="22" s="1"/>
  <c r="AM46" i="22" s="1"/>
  <c r="AM47" i="22" s="1"/>
  <c r="AM48" i="22" s="1"/>
  <c r="AM49" i="22" s="1"/>
  <c r="AM50" i="22" s="1"/>
  <c r="AM51" i="22" s="1"/>
  <c r="AM52" i="22" s="1"/>
  <c r="AM53" i="22" s="1"/>
  <c r="AN29" i="22"/>
  <c r="AN30" i="22" s="1"/>
  <c r="AN31" i="22" s="1"/>
  <c r="AN32" i="22" s="1"/>
  <c r="AN33" i="22" s="1"/>
  <c r="AN34" i="22" s="1"/>
  <c r="AN35" i="22" s="1"/>
  <c r="AN36" i="22" s="1"/>
  <c r="AN37" i="22" s="1"/>
  <c r="AN38" i="22" s="1"/>
  <c r="AN39" i="22" s="1"/>
  <c r="AN40" i="22" s="1"/>
  <c r="AN41" i="22" s="1"/>
  <c r="AN42" i="22" s="1"/>
  <c r="AN43" i="22" s="1"/>
  <c r="AN44" i="22" s="1"/>
  <c r="AN45" i="22" s="1"/>
  <c r="AN46" i="22" s="1"/>
  <c r="AN47" i="22" s="1"/>
  <c r="AN48" i="22" s="1"/>
  <c r="AN49" i="22" s="1"/>
  <c r="AN50" i="22" s="1"/>
  <c r="AN51" i="22" s="1"/>
  <c r="AN52" i="22" s="1"/>
  <c r="AN53" i="22" s="1"/>
  <c r="AO29" i="22"/>
  <c r="AP29" i="22"/>
  <c r="AP30" i="22" s="1"/>
  <c r="AP31" i="22" s="1"/>
  <c r="AP32" i="22" s="1"/>
  <c r="AP33" i="22" s="1"/>
  <c r="AP34" i="22" s="1"/>
  <c r="AP35" i="22" s="1"/>
  <c r="AP36" i="22" s="1"/>
  <c r="AP37" i="22" s="1"/>
  <c r="AP38" i="22" s="1"/>
  <c r="AP39" i="22" s="1"/>
  <c r="AP40" i="22" s="1"/>
  <c r="AP41" i="22" s="1"/>
  <c r="AP42" i="22" s="1"/>
  <c r="AP43" i="22" s="1"/>
  <c r="AP44" i="22" s="1"/>
  <c r="AP45" i="22" s="1"/>
  <c r="AP46" i="22" s="1"/>
  <c r="AP47" i="22" s="1"/>
  <c r="AP48" i="22" s="1"/>
  <c r="AP49" i="22" s="1"/>
  <c r="AP50" i="22" s="1"/>
  <c r="AP51" i="22" s="1"/>
  <c r="AP52" i="22" s="1"/>
  <c r="AP53" i="22" s="1"/>
  <c r="AK29" i="22"/>
  <c r="AL9" i="22"/>
  <c r="AM9" i="22"/>
  <c r="AN9" i="22"/>
  <c r="AO9" i="22"/>
  <c r="AP9" i="22"/>
  <c r="AK9" i="22"/>
  <c r="AC30" i="22"/>
  <c r="AC31" i="22" s="1"/>
  <c r="AC32" i="22" s="1"/>
  <c r="AC33" i="22" s="1"/>
  <c r="AC34" i="22" s="1"/>
  <c r="AC35" i="22" s="1"/>
  <c r="AC36" i="22" s="1"/>
  <c r="AC37" i="22" s="1"/>
  <c r="AC38" i="22" s="1"/>
  <c r="AC39" i="22" s="1"/>
  <c r="AC40" i="22" s="1"/>
  <c r="AC41" i="22" s="1"/>
  <c r="AC42" i="22" s="1"/>
  <c r="AC43" i="22" s="1"/>
  <c r="AC44" i="22" s="1"/>
  <c r="AC45" i="22" s="1"/>
  <c r="AC46" i="22" s="1"/>
  <c r="AC47" i="22" s="1"/>
  <c r="AC48" i="22" s="1"/>
  <c r="AC49" i="22" s="1"/>
  <c r="AC50" i="22" s="1"/>
  <c r="AC51" i="22" s="1"/>
  <c r="AC52" i="22" s="1"/>
  <c r="AC53" i="22" s="1"/>
  <c r="AE30" i="22"/>
  <c r="AE31" i="22" s="1"/>
  <c r="AE32" i="22" s="1"/>
  <c r="AE33" i="22" s="1"/>
  <c r="AE34" i="22" s="1"/>
  <c r="AE35" i="22" s="1"/>
  <c r="AE36" i="22" s="1"/>
  <c r="AE37" i="22" s="1"/>
  <c r="AE38" i="22" s="1"/>
  <c r="AE39" i="22" s="1"/>
  <c r="AE40" i="22" s="1"/>
  <c r="AE41" i="22" s="1"/>
  <c r="AE42" i="22" s="1"/>
  <c r="AE43" i="22" s="1"/>
  <c r="AE44" i="22" s="1"/>
  <c r="AE45" i="22" s="1"/>
  <c r="AE46" i="22" s="1"/>
  <c r="AE47" i="22" s="1"/>
  <c r="AE48" i="22" s="1"/>
  <c r="AE49" i="22" s="1"/>
  <c r="AE50" i="22" s="1"/>
  <c r="AE51" i="22" s="1"/>
  <c r="AE52" i="22" s="1"/>
  <c r="AE53" i="22" s="1"/>
  <c r="AF30" i="22"/>
  <c r="AF31" i="22" s="1"/>
  <c r="AF32" i="22" s="1"/>
  <c r="AF33" i="22" s="1"/>
  <c r="AF34" i="22" s="1"/>
  <c r="AF35" i="22" s="1"/>
  <c r="AF36" i="22" s="1"/>
  <c r="AF37" i="22" s="1"/>
  <c r="AF38" i="22" s="1"/>
  <c r="AF39" i="22" s="1"/>
  <c r="AF40" i="22" s="1"/>
  <c r="AF41" i="22" s="1"/>
  <c r="AF42" i="22" s="1"/>
  <c r="AF43" i="22" s="1"/>
  <c r="AF44" i="22" s="1"/>
  <c r="AF45" i="22" s="1"/>
  <c r="AF46" i="22" s="1"/>
  <c r="AF47" i="22" s="1"/>
  <c r="AF48" i="22" s="1"/>
  <c r="AF49" i="22" s="1"/>
  <c r="AF50" i="22" s="1"/>
  <c r="AF51" i="22" s="1"/>
  <c r="AF52" i="22" s="1"/>
  <c r="AF53" i="22" s="1"/>
  <c r="AG30" i="22"/>
  <c r="AG31" i="22" s="1"/>
  <c r="AG32" i="22" s="1"/>
  <c r="AG33" i="22" s="1"/>
  <c r="AG34" i="22" s="1"/>
  <c r="AG35" i="22" s="1"/>
  <c r="AG36" i="22" s="1"/>
  <c r="AG37" i="22" s="1"/>
  <c r="AG38" i="22" s="1"/>
  <c r="AG39" i="22" s="1"/>
  <c r="AG40" i="22" s="1"/>
  <c r="AG41" i="22" s="1"/>
  <c r="AG42" i="22" s="1"/>
  <c r="AG43" i="22" s="1"/>
  <c r="AG44" i="22" s="1"/>
  <c r="AG45" i="22" s="1"/>
  <c r="AG46" i="22" s="1"/>
  <c r="AG47" i="22" s="1"/>
  <c r="AG48" i="22" s="1"/>
  <c r="AG49" i="22" s="1"/>
  <c r="AG50" i="22" s="1"/>
  <c r="AG51" i="22" s="1"/>
  <c r="AG52" i="22" s="1"/>
  <c r="AG53" i="22" s="1"/>
  <c r="BX33" i="22"/>
  <c r="BX34" i="22" s="1"/>
  <c r="BX35" i="22" s="1"/>
  <c r="BX36" i="22" s="1"/>
  <c r="BX37" i="22" s="1"/>
  <c r="BX38" i="22" s="1"/>
  <c r="BX39" i="22" s="1"/>
  <c r="BX40" i="22" s="1"/>
  <c r="BX41" i="22" s="1"/>
  <c r="BX42" i="22" s="1"/>
  <c r="BX43" i="22" s="1"/>
  <c r="BX44" i="22" s="1"/>
  <c r="BX45" i="22" s="1"/>
  <c r="BX46" i="22" s="1"/>
  <c r="BX47" i="22" s="1"/>
  <c r="BX48" i="22" s="1"/>
  <c r="BX49" i="22" s="1"/>
  <c r="BX50" i="22" s="1"/>
  <c r="BX51" i="22" s="1"/>
  <c r="BX52" i="22" s="1"/>
  <c r="BX53" i="22" s="1"/>
  <c r="AB30" i="22"/>
  <c r="AB31" i="22" s="1"/>
  <c r="AB32" i="22" s="1"/>
  <c r="AB33" i="22" s="1"/>
  <c r="AB34" i="22" s="1"/>
  <c r="AB35" i="22" s="1"/>
  <c r="AB36" i="22" s="1"/>
  <c r="AB37" i="22" s="1"/>
  <c r="AB38" i="22" s="1"/>
  <c r="AB39" i="22" s="1"/>
  <c r="AB40" i="22" s="1"/>
  <c r="AB41" i="22" s="1"/>
  <c r="AB42" i="22" s="1"/>
  <c r="AB43" i="22" s="1"/>
  <c r="AB44" i="22" s="1"/>
  <c r="AB45" i="22" s="1"/>
  <c r="AB46" i="22" s="1"/>
  <c r="AB47" i="22" s="1"/>
  <c r="AB48" i="22" s="1"/>
  <c r="AB49" i="22" s="1"/>
  <c r="AB50" i="22" s="1"/>
  <c r="AB51" i="22" s="1"/>
  <c r="AB52" i="22" s="1"/>
  <c r="AB53" i="22" s="1"/>
  <c r="BV31" i="22"/>
  <c r="BV32" i="22" s="1"/>
  <c r="BV33" i="22" s="1"/>
  <c r="BV34" i="22" s="1"/>
  <c r="BV35" i="22" s="1"/>
  <c r="BV36" i="22" s="1"/>
  <c r="BV37" i="22" s="1"/>
  <c r="BV38" i="22" s="1"/>
  <c r="BV39" i="22" s="1"/>
  <c r="BV40" i="22" s="1"/>
  <c r="BV41" i="22" s="1"/>
  <c r="BV42" i="22" s="1"/>
  <c r="BV43" i="22" s="1"/>
  <c r="BV44" i="22" s="1"/>
  <c r="BV45" i="22" s="1"/>
  <c r="BV46" i="22" s="1"/>
  <c r="BV47" i="22" s="1"/>
  <c r="BV48" i="22" s="1"/>
  <c r="BV49" i="22" s="1"/>
  <c r="BV50" i="22" s="1"/>
  <c r="BV51" i="22" s="1"/>
  <c r="BV52" i="22" s="1"/>
  <c r="BV53" i="22" s="1"/>
  <c r="BH30" i="22"/>
  <c r="BH31" i="22" s="1"/>
  <c r="BH32" i="22" s="1"/>
  <c r="BH33" i="22" s="1"/>
  <c r="BH34" i="22" s="1"/>
  <c r="BH35" i="22" s="1"/>
  <c r="BH36" i="22" s="1"/>
  <c r="BH37" i="22" s="1"/>
  <c r="BH38" i="22" s="1"/>
  <c r="BH39" i="22" s="1"/>
  <c r="BH40" i="22" s="1"/>
  <c r="BH41" i="22" s="1"/>
  <c r="BH42" i="22" s="1"/>
  <c r="BH43" i="22" s="1"/>
  <c r="BH44" i="22" s="1"/>
  <c r="BH45" i="22" s="1"/>
  <c r="BH46" i="22" s="1"/>
  <c r="BH47" i="22" s="1"/>
  <c r="BH48" i="22" s="1"/>
  <c r="BH49" i="22" s="1"/>
  <c r="BH50" i="22" s="1"/>
  <c r="BH51" i="22" s="1"/>
  <c r="BH52" i="22" s="1"/>
  <c r="BH53" i="22" s="1"/>
  <c r="AO30" i="22"/>
  <c r="AO31" i="22" s="1"/>
  <c r="AO32" i="22" s="1"/>
  <c r="AO33" i="22" s="1"/>
  <c r="AO34" i="22"/>
  <c r="AO35" i="22" s="1"/>
  <c r="AO36" i="22" s="1"/>
  <c r="AO37" i="22" s="1"/>
  <c r="AO38" i="22" s="1"/>
  <c r="AO39" i="22" s="1"/>
  <c r="AO40" i="22" s="1"/>
  <c r="AO41" i="22" s="1"/>
  <c r="AO42" i="22" s="1"/>
  <c r="AO43" i="22" s="1"/>
  <c r="AO44" i="22" s="1"/>
  <c r="AO45" i="22" s="1"/>
  <c r="AO46" i="22" s="1"/>
  <c r="AO47" i="22" s="1"/>
  <c r="AO48" i="22" s="1"/>
  <c r="AO49" i="22" s="1"/>
  <c r="AO50" i="22" s="1"/>
  <c r="AO51" i="22" s="1"/>
  <c r="AO52" i="22" s="1"/>
  <c r="AO53" i="22" s="1"/>
  <c r="G17" i="28"/>
  <c r="E16" i="28"/>
  <c r="E22" i="28"/>
  <c r="G22" i="28"/>
  <c r="F22" i="28"/>
  <c r="G15" i="28"/>
  <c r="L42" i="19" s="1"/>
  <c r="F15" i="28"/>
  <c r="K42" i="19" s="1"/>
  <c r="E15" i="28"/>
  <c r="J42" i="19" s="1"/>
  <c r="B49" i="18"/>
  <c r="B93" i="18" s="1"/>
  <c r="B50" i="18"/>
  <c r="B94" i="18" s="1"/>
  <c r="B51" i="18"/>
  <c r="B52" i="18"/>
  <c r="B96" i="18"/>
  <c r="B53" i="18"/>
  <c r="B97" i="18" s="1"/>
  <c r="B54" i="18"/>
  <c r="B57" i="18"/>
  <c r="B101" i="18" s="1"/>
  <c r="B58" i="18"/>
  <c r="B102" i="18" s="1"/>
  <c r="B60" i="18"/>
  <c r="B104" i="18" s="1"/>
  <c r="B61" i="18"/>
  <c r="B62" i="18"/>
  <c r="B106" i="18" s="1"/>
  <c r="B48" i="18"/>
  <c r="B92" i="18" s="1"/>
  <c r="D5" i="18"/>
  <c r="I5" i="18" s="1"/>
  <c r="K5" i="18" s="1"/>
  <c r="D50" i="19" s="1"/>
  <c r="D6" i="18"/>
  <c r="I6" i="18" s="1"/>
  <c r="L6" i="18" s="1"/>
  <c r="E51" i="19" s="1"/>
  <c r="D7" i="18"/>
  <c r="I7" i="18" s="1"/>
  <c r="D8" i="18"/>
  <c r="I8" i="18" s="1"/>
  <c r="B53" i="19" s="1"/>
  <c r="D9" i="18"/>
  <c r="I9" i="18" s="1"/>
  <c r="D10" i="18"/>
  <c r="I10" i="18" s="1"/>
  <c r="K10" i="18" s="1"/>
  <c r="D55" i="19" s="1"/>
  <c r="E59" i="19"/>
  <c r="D65" i="19"/>
  <c r="D4" i="18"/>
  <c r="I4" i="18" s="1"/>
  <c r="B49" i="19" s="1"/>
  <c r="C7" i="18"/>
  <c r="E7" i="18" s="1"/>
  <c r="B8" i="19" s="1"/>
  <c r="M102" i="20"/>
  <c r="M103" i="20"/>
  <c r="M99" i="20"/>
  <c r="M90" i="20" s="1"/>
  <c r="O94" i="20"/>
  <c r="O95" i="20"/>
  <c r="O96" i="20"/>
  <c r="O97" i="20"/>
  <c r="O98" i="20"/>
  <c r="O93" i="20"/>
  <c r="M89" i="20"/>
  <c r="M37" i="20"/>
  <c r="N34" i="20"/>
  <c r="N35" i="20"/>
  <c r="N36" i="20"/>
  <c r="M19" i="20"/>
  <c r="M24" i="20"/>
  <c r="C4" i="23"/>
  <c r="B4" i="23"/>
  <c r="C10" i="23" s="1"/>
  <c r="BO54" i="22"/>
  <c r="BO10" i="22" s="1"/>
  <c r="BO11" i="22" s="1"/>
  <c r="BO12" i="22" s="1"/>
  <c r="BO13" i="22" s="1"/>
  <c r="BO14" i="22" s="1"/>
  <c r="BO15" i="22" s="1"/>
  <c r="BO16" i="22" s="1"/>
  <c r="BO17" i="22" s="1"/>
  <c r="BO18" i="22" s="1"/>
  <c r="BO19" i="22" s="1"/>
  <c r="BO20" i="22" s="1"/>
  <c r="BO21" i="22" s="1"/>
  <c r="BO22" i="22" s="1"/>
  <c r="BO23" i="22" s="1"/>
  <c r="BO24" i="22" s="1"/>
  <c r="BO25" i="22" s="1"/>
  <c r="BO26" i="22" s="1"/>
  <c r="BO27" i="22" s="1"/>
  <c r="BO28" i="22" s="1"/>
  <c r="C16" i="28"/>
  <c r="AB54" i="22"/>
  <c r="AB10" i="22" s="1"/>
  <c r="AB11" i="22" s="1"/>
  <c r="AB12" i="22" s="1"/>
  <c r="AB13" i="22" s="1"/>
  <c r="AB14" i="22" s="1"/>
  <c r="AB15" i="22" s="1"/>
  <c r="AB16" i="22" s="1"/>
  <c r="AB17" i="22" s="1"/>
  <c r="AB18" i="22" s="1"/>
  <c r="AB19" i="22" s="1"/>
  <c r="AB20" i="22" s="1"/>
  <c r="AB21" i="22" s="1"/>
  <c r="AB22" i="22" s="1"/>
  <c r="AB23" i="22" s="1"/>
  <c r="AB24" i="22" s="1"/>
  <c r="AB25" i="22" s="1"/>
  <c r="AB26" i="22" s="1"/>
  <c r="AB27" i="22" s="1"/>
  <c r="AB28" i="22" s="1"/>
  <c r="B95" i="18"/>
  <c r="AU54" i="22"/>
  <c r="AU10" i="22" s="1"/>
  <c r="AU11" i="22" s="1"/>
  <c r="AU12" i="22" s="1"/>
  <c r="AU13" i="22" s="1"/>
  <c r="AU14" i="22" s="1"/>
  <c r="AU15" i="22" s="1"/>
  <c r="AU16" i="22" s="1"/>
  <c r="AU17" i="22" s="1"/>
  <c r="AU18" i="22" s="1"/>
  <c r="AU19" i="22" s="1"/>
  <c r="AU20" i="22" s="1"/>
  <c r="AU21" i="22" s="1"/>
  <c r="AU22" i="22" s="1"/>
  <c r="AU23" i="22" s="1"/>
  <c r="AU24" i="22" s="1"/>
  <c r="AU25" i="22" s="1"/>
  <c r="AU26" i="22" s="1"/>
  <c r="AU27" i="22" s="1"/>
  <c r="AU28" i="22" s="1"/>
  <c r="AF54" i="22"/>
  <c r="G7" i="18"/>
  <c r="D8" i="19" s="1"/>
  <c r="B63" i="19"/>
  <c r="B55" i="18"/>
  <c r="D64" i="19"/>
  <c r="C60" i="19"/>
  <c r="B63" i="18"/>
  <c r="B107" i="18" s="1"/>
  <c r="B59" i="18"/>
  <c r="B103" i="18" s="1"/>
  <c r="E12" i="19"/>
  <c r="E58" i="19"/>
  <c r="K6" i="18"/>
  <c r="D51" i="19" s="1"/>
  <c r="B64" i="19"/>
  <c r="C65" i="19"/>
  <c r="E65" i="19"/>
  <c r="B58" i="19"/>
  <c r="C58" i="19"/>
  <c r="G16" i="28"/>
  <c r="BX54" i="22"/>
  <c r="BX10" i="22" s="1"/>
  <c r="BX11" i="22" s="1"/>
  <c r="BX12" i="22" s="1"/>
  <c r="BX13" i="22" s="1"/>
  <c r="BX14" i="22" s="1"/>
  <c r="BX15" i="22" s="1"/>
  <c r="BX16" i="22" s="1"/>
  <c r="BX17" i="22" s="1"/>
  <c r="BX18" i="22" s="1"/>
  <c r="BX19" i="22" s="1"/>
  <c r="BX20" i="22" s="1"/>
  <c r="BX21" i="22" s="1"/>
  <c r="BX22" i="22" s="1"/>
  <c r="BX23" i="22" s="1"/>
  <c r="BX24" i="22" s="1"/>
  <c r="BX25" i="22" s="1"/>
  <c r="BX26" i="22" s="1"/>
  <c r="BX27" i="22" s="1"/>
  <c r="BX28" i="22" s="1"/>
  <c r="D6" i="33"/>
  <c r="E6" i="33" s="1"/>
  <c r="D19" i="19"/>
  <c r="B3" i="33"/>
  <c r="G3" i="33" s="1"/>
  <c r="B60" i="19"/>
  <c r="E17" i="28"/>
  <c r="AD30" i="22"/>
  <c r="AD31" i="22"/>
  <c r="AD32" i="22" s="1"/>
  <c r="AD33" i="22" s="1"/>
  <c r="AD34" i="22" s="1"/>
  <c r="AD35" i="22" s="1"/>
  <c r="AD36" i="22" s="1"/>
  <c r="AD37" i="22" s="1"/>
  <c r="AD38" i="22" s="1"/>
  <c r="AD39" i="22" s="1"/>
  <c r="AD40" i="22" s="1"/>
  <c r="AD41" i="22" s="1"/>
  <c r="AD42" i="22" s="1"/>
  <c r="AD43" i="22" s="1"/>
  <c r="AD44" i="22" s="1"/>
  <c r="AD45" i="22" s="1"/>
  <c r="AD46" i="22" s="1"/>
  <c r="AD47" i="22" s="1"/>
  <c r="AD48" i="22" s="1"/>
  <c r="AD49" i="22" s="1"/>
  <c r="AD50" i="22" s="1"/>
  <c r="AD51" i="22" s="1"/>
  <c r="AD52" i="22" s="1"/>
  <c r="AD53" i="22" s="1"/>
  <c r="D58" i="19"/>
  <c r="D4" i="33" l="1"/>
  <c r="E4" i="33" s="1"/>
  <c r="G4" i="33"/>
  <c r="M42" i="19"/>
  <c r="B51" i="19"/>
  <c r="B50" i="19"/>
  <c r="B91" i="18"/>
  <c r="B48" i="19"/>
  <c r="L3" i="18"/>
  <c r="J23" i="18"/>
  <c r="K23" i="18"/>
  <c r="L23" i="18"/>
  <c r="F23" i="18"/>
  <c r="G23" i="18"/>
  <c r="H23" i="18"/>
  <c r="F58" i="19"/>
  <c r="G58" i="19" s="1"/>
  <c r="C24" i="18"/>
  <c r="E24" i="18" s="1"/>
  <c r="D24" i="18"/>
  <c r="I24" i="18" s="1"/>
  <c r="B25" i="18"/>
  <c r="K7" i="18"/>
  <c r="D52" i="19" s="1"/>
  <c r="J7" i="18"/>
  <c r="L7" i="18"/>
  <c r="E52" i="19" s="1"/>
  <c r="B52" i="19"/>
  <c r="E60" i="19"/>
  <c r="H65" i="19"/>
  <c r="H64" i="19"/>
  <c r="D60" i="19"/>
  <c r="C63" i="19"/>
  <c r="C64" i="19"/>
  <c r="E63" i="19"/>
  <c r="B65" i="19"/>
  <c r="J6" i="18"/>
  <c r="E21" i="28"/>
  <c r="J86" i="19" s="1"/>
  <c r="E23" i="28"/>
  <c r="D10" i="23"/>
  <c r="N13" i="31"/>
  <c r="AV30" i="22"/>
  <c r="AV31" i="22" s="1"/>
  <c r="AV32" i="22" s="1"/>
  <c r="AV33" i="22" s="1"/>
  <c r="AV34" i="22" s="1"/>
  <c r="AV35" i="22" s="1"/>
  <c r="AV36" i="22" s="1"/>
  <c r="AV37" i="22" s="1"/>
  <c r="AV38" i="22" s="1"/>
  <c r="AV39" i="22" s="1"/>
  <c r="AV40" i="22" s="1"/>
  <c r="AV41" i="22" s="1"/>
  <c r="AV42" i="22" s="1"/>
  <c r="AV43" i="22" s="1"/>
  <c r="AV44" i="22" s="1"/>
  <c r="AV45" i="22" s="1"/>
  <c r="AV46" i="22" s="1"/>
  <c r="AV47" i="22" s="1"/>
  <c r="AV48" i="22" s="1"/>
  <c r="AV49" i="22" s="1"/>
  <c r="AV50" i="22" s="1"/>
  <c r="AV51" i="22" s="1"/>
  <c r="AV52" i="22" s="1"/>
  <c r="AV53" i="22" s="1"/>
  <c r="AE54" i="22"/>
  <c r="AE10" i="22" s="1"/>
  <c r="AE11" i="22" s="1"/>
  <c r="AE12" i="22" s="1"/>
  <c r="AE13" i="22" s="1"/>
  <c r="AE14" i="22" s="1"/>
  <c r="AE15" i="22" s="1"/>
  <c r="AE16" i="22" s="1"/>
  <c r="AE17" i="22" s="1"/>
  <c r="AE18" i="22" s="1"/>
  <c r="AE19" i="22" s="1"/>
  <c r="AE20" i="22" s="1"/>
  <c r="AE21" i="22" s="1"/>
  <c r="AE22" i="22" s="1"/>
  <c r="AE23" i="22" s="1"/>
  <c r="AE24" i="22" s="1"/>
  <c r="AE25" i="22" s="1"/>
  <c r="AE26" i="22" s="1"/>
  <c r="AE27" i="22" s="1"/>
  <c r="AE28" i="22" s="1"/>
  <c r="AN54" i="22"/>
  <c r="BG54" i="22"/>
  <c r="BG10" i="22" s="1"/>
  <c r="BG11" i="22" s="1"/>
  <c r="BG12" i="22" s="1"/>
  <c r="BG13" i="22" s="1"/>
  <c r="BG14" i="22" s="1"/>
  <c r="BG15" i="22" s="1"/>
  <c r="BG16" i="22" s="1"/>
  <c r="BG17" i="22" s="1"/>
  <c r="BG18" i="22" s="1"/>
  <c r="BG19" i="22" s="1"/>
  <c r="BG20" i="22" s="1"/>
  <c r="BG21" i="22" s="1"/>
  <c r="BG22" i="22" s="1"/>
  <c r="BG23" i="22" s="1"/>
  <c r="BG24" i="22" s="1"/>
  <c r="BG25" i="22" s="1"/>
  <c r="BG26" i="22" s="1"/>
  <c r="BG27" i="22" s="1"/>
  <c r="BG28" i="22" s="1"/>
  <c r="BL54" i="22"/>
  <c r="BL10" i="22" s="1"/>
  <c r="BL11" i="22" s="1"/>
  <c r="BL12" i="22" s="1"/>
  <c r="BL13" i="22" s="1"/>
  <c r="BL14" i="22" s="1"/>
  <c r="BL15" i="22" s="1"/>
  <c r="BL16" i="22" s="1"/>
  <c r="BL17" i="22" s="1"/>
  <c r="BL18" i="22" s="1"/>
  <c r="BL19" i="22" s="1"/>
  <c r="BL20" i="22" s="1"/>
  <c r="BL21" i="22" s="1"/>
  <c r="BL22" i="22" s="1"/>
  <c r="BL23" i="22" s="1"/>
  <c r="BL24" i="22" s="1"/>
  <c r="BL25" i="22" s="1"/>
  <c r="BL26" i="22" s="1"/>
  <c r="BL27" i="22" s="1"/>
  <c r="BL28" i="22" s="1"/>
  <c r="BP54" i="22"/>
  <c r="BP10" i="22" s="1"/>
  <c r="BP11" i="22" s="1"/>
  <c r="BP12" i="22" s="1"/>
  <c r="BP13" i="22" s="1"/>
  <c r="BP14" i="22" s="1"/>
  <c r="BP15" i="22" s="1"/>
  <c r="BP16" i="22" s="1"/>
  <c r="BP17" i="22" s="1"/>
  <c r="BP18" i="22" s="1"/>
  <c r="BP19" i="22" s="1"/>
  <c r="BP20" i="22" s="1"/>
  <c r="BP21" i="22" s="1"/>
  <c r="BP22" i="22" s="1"/>
  <c r="BP23" i="22" s="1"/>
  <c r="BP24" i="22" s="1"/>
  <c r="BP25" i="22" s="1"/>
  <c r="BP26" i="22" s="1"/>
  <c r="BP27" i="22" s="1"/>
  <c r="BP28" i="22" s="1"/>
  <c r="BY54" i="22"/>
  <c r="AO54" i="22"/>
  <c r="AO10" i="22" s="1"/>
  <c r="AO11" i="22" s="1"/>
  <c r="AO12" i="22" s="1"/>
  <c r="AO13" i="22" s="1"/>
  <c r="AO14" i="22" s="1"/>
  <c r="AO15" i="22" s="1"/>
  <c r="AO16" i="22" s="1"/>
  <c r="AO17" i="22" s="1"/>
  <c r="AO18" i="22" s="1"/>
  <c r="AX54" i="22"/>
  <c r="AX10" i="22" s="1"/>
  <c r="AX11" i="22" s="1"/>
  <c r="AX12" i="22" s="1"/>
  <c r="AX13" i="22" s="1"/>
  <c r="AX14" i="22" s="1"/>
  <c r="AX15" i="22" s="1"/>
  <c r="AX16" i="22" s="1"/>
  <c r="AX17" i="22" s="1"/>
  <c r="AX18" i="22" s="1"/>
  <c r="AX19" i="22" s="1"/>
  <c r="AX20" i="22" s="1"/>
  <c r="AX21" i="22" s="1"/>
  <c r="AX22" i="22" s="1"/>
  <c r="AX23" i="22" s="1"/>
  <c r="AX24" i="22" s="1"/>
  <c r="AX25" i="22" s="1"/>
  <c r="AX26" i="22" s="1"/>
  <c r="AX27" i="22" s="1"/>
  <c r="AX28" i="22" s="1"/>
  <c r="AG54" i="22"/>
  <c r="AG10" i="22" s="1"/>
  <c r="AG11" i="22" s="1"/>
  <c r="AG12" i="22" s="1"/>
  <c r="AG13" i="22" s="1"/>
  <c r="AG14" i="22" s="1"/>
  <c r="AP54" i="22"/>
  <c r="AM54" i="22"/>
  <c r="AM10" i="22" s="1"/>
  <c r="AM11" i="22" s="1"/>
  <c r="AM12" i="22" s="1"/>
  <c r="AM13" i="22" s="1"/>
  <c r="AM14" i="22" s="1"/>
  <c r="AM15" i="22" s="1"/>
  <c r="AM16" i="22" s="1"/>
  <c r="AM17" i="22" s="1"/>
  <c r="AM18" i="22" s="1"/>
  <c r="AM19" i="22" s="1"/>
  <c r="AM20" i="22" s="1"/>
  <c r="AM21" i="22" s="1"/>
  <c r="AM22" i="22" s="1"/>
  <c r="AM23" i="22" s="1"/>
  <c r="AM24" i="22" s="1"/>
  <c r="AM25" i="22" s="1"/>
  <c r="AM26" i="22" s="1"/>
  <c r="AM27" i="22" s="1"/>
  <c r="AM28" i="22" s="1"/>
  <c r="BY30" i="22"/>
  <c r="BY31" i="22" s="1"/>
  <c r="BY32" i="22" s="1"/>
  <c r="BY33" i="22" s="1"/>
  <c r="BY34" i="22" s="1"/>
  <c r="BY35" i="22" s="1"/>
  <c r="BY36" i="22" s="1"/>
  <c r="BY37" i="22" s="1"/>
  <c r="BY38" i="22" s="1"/>
  <c r="BY39" i="22" s="1"/>
  <c r="BY40" i="22" s="1"/>
  <c r="BY41" i="22" s="1"/>
  <c r="BY42" i="22" s="1"/>
  <c r="BY43" i="22" s="1"/>
  <c r="BY44" i="22" s="1"/>
  <c r="BY45" i="22" s="1"/>
  <c r="BY46" i="22" s="1"/>
  <c r="BY47" i="22" s="1"/>
  <c r="BY48" i="22" s="1"/>
  <c r="BY49" i="22" s="1"/>
  <c r="BY50" i="22" s="1"/>
  <c r="BY51" i="22" s="1"/>
  <c r="BY52" i="22" s="1"/>
  <c r="BY53" i="22" s="1"/>
  <c r="BW54" i="22"/>
  <c r="BW10" i="22" s="1"/>
  <c r="BW11" i="22" s="1"/>
  <c r="BW12" i="22" s="1"/>
  <c r="BW13" i="22" s="1"/>
  <c r="BW14" i="22" s="1"/>
  <c r="BW15" i="22" s="1"/>
  <c r="BW16" i="22" s="1"/>
  <c r="BW17" i="22" s="1"/>
  <c r="BW18" i="22" s="1"/>
  <c r="BW19" i="22" s="1"/>
  <c r="BW20" i="22" s="1"/>
  <c r="BW21" i="22" s="1"/>
  <c r="BW22" i="22" s="1"/>
  <c r="BW23" i="22" s="1"/>
  <c r="BW24" i="22" s="1"/>
  <c r="BW25" i="22" s="1"/>
  <c r="BW26" i="22" s="1"/>
  <c r="BW27" i="22" s="1"/>
  <c r="BW28" i="22" s="1"/>
  <c r="BQ54" i="22"/>
  <c r="BQ10" i="22" s="1"/>
  <c r="BQ11" i="22" s="1"/>
  <c r="BQ12" i="22" s="1"/>
  <c r="BQ13" i="22" s="1"/>
  <c r="BQ14" i="22" s="1"/>
  <c r="BQ15" i="22" s="1"/>
  <c r="BQ16" i="22" s="1"/>
  <c r="BQ17" i="22" s="1"/>
  <c r="BQ18" i="22" s="1"/>
  <c r="BQ19" i="22" s="1"/>
  <c r="BQ20" i="22" s="1"/>
  <c r="BQ21" i="22" s="1"/>
  <c r="BQ22" i="22" s="1"/>
  <c r="BQ23" i="22" s="1"/>
  <c r="BQ24" i="22" s="1"/>
  <c r="BQ25" i="22" s="1"/>
  <c r="BQ26" i="22" s="1"/>
  <c r="BQ27" i="22" s="1"/>
  <c r="BQ28" i="22" s="1"/>
  <c r="BV54" i="22"/>
  <c r="BV10" i="22" s="1"/>
  <c r="BV11" i="22" s="1"/>
  <c r="BV12" i="22" s="1"/>
  <c r="BV13" i="22" s="1"/>
  <c r="BV14" i="22" s="1"/>
  <c r="BV15" i="22" s="1"/>
  <c r="BV16" i="22" s="1"/>
  <c r="BV17" i="22" s="1"/>
  <c r="BV18" i="22" s="1"/>
  <c r="BV19" i="22" s="1"/>
  <c r="BV20" i="22" s="1"/>
  <c r="BV21" i="22" s="1"/>
  <c r="BV22" i="22" s="1"/>
  <c r="BV23" i="22" s="1"/>
  <c r="BV24" i="22" s="1"/>
  <c r="AF10" i="22"/>
  <c r="AF11" i="22" s="1"/>
  <c r="AF12" i="22" s="1"/>
  <c r="AF13" i="22" s="1"/>
  <c r="AF14" i="22" s="1"/>
  <c r="AF15" i="22" s="1"/>
  <c r="AF16" i="22" s="1"/>
  <c r="AF17" i="22" s="1"/>
  <c r="AF18" i="22" s="1"/>
  <c r="AF19" i="22" s="1"/>
  <c r="AF20" i="22" s="1"/>
  <c r="AF21" i="22" s="1"/>
  <c r="AF22" i="22" s="1"/>
  <c r="AF23" i="22" s="1"/>
  <c r="AF24" i="22" s="1"/>
  <c r="AF25" i="22" s="1"/>
  <c r="AF26" i="22" s="1"/>
  <c r="AF27" i="22" s="1"/>
  <c r="AF28" i="22" s="1"/>
  <c r="AL54" i="22"/>
  <c r="AL10" i="22" s="1"/>
  <c r="AL11" i="22" s="1"/>
  <c r="AL12" i="22" s="1"/>
  <c r="AL13" i="22" s="1"/>
  <c r="AL14" i="22" s="1"/>
  <c r="AL15" i="22" s="1"/>
  <c r="AL16" i="22" s="1"/>
  <c r="AL17" i="22" s="1"/>
  <c r="AL18" i="22" s="1"/>
  <c r="AL19" i="22" s="1"/>
  <c r="AL20" i="22" s="1"/>
  <c r="AL21" i="22" s="1"/>
  <c r="AL22" i="22" s="1"/>
  <c r="AL23" i="22" s="1"/>
  <c r="AL24" i="22" s="1"/>
  <c r="AL25" i="22" s="1"/>
  <c r="AL26" i="22" s="1"/>
  <c r="AL27" i="22" s="1"/>
  <c r="AL28" i="22" s="1"/>
  <c r="AY54" i="22"/>
  <c r="AY10" i="22" s="1"/>
  <c r="AY11" i="22" s="1"/>
  <c r="AY12" i="22" s="1"/>
  <c r="AY13" i="22" s="1"/>
  <c r="AY14" i="22" s="1"/>
  <c r="AY15" i="22" s="1"/>
  <c r="AY16" i="22" s="1"/>
  <c r="AY17" i="22" s="1"/>
  <c r="AY18" i="22" s="1"/>
  <c r="AY19" i="22" s="1"/>
  <c r="AY20" i="22" s="1"/>
  <c r="AY21" i="22" s="1"/>
  <c r="AY22" i="22" s="1"/>
  <c r="AY23" i="22" s="1"/>
  <c r="AY24" i="22" s="1"/>
  <c r="AY25" i="22" s="1"/>
  <c r="AY26" i="22" s="1"/>
  <c r="AY27" i="22" s="1"/>
  <c r="AY28" i="22" s="1"/>
  <c r="BC54" i="22"/>
  <c r="BC10" i="22" s="1"/>
  <c r="BC11" i="22" s="1"/>
  <c r="BC12" i="22" s="1"/>
  <c r="BC13" i="22" s="1"/>
  <c r="BC14" i="22" s="1"/>
  <c r="BC15" i="22" s="1"/>
  <c r="BC16" i="22" s="1"/>
  <c r="BC17" i="22" s="1"/>
  <c r="BC18" i="22" s="1"/>
  <c r="BC19" i="22" s="1"/>
  <c r="BC20" i="22" s="1"/>
  <c r="BC21" i="22" s="1"/>
  <c r="BC22" i="22" s="1"/>
  <c r="BC23" i="22" s="1"/>
  <c r="BC24" i="22" s="1"/>
  <c r="BC25" i="22" s="1"/>
  <c r="BC26" i="22" s="1"/>
  <c r="BC27" i="22" s="1"/>
  <c r="BC28" i="22" s="1"/>
  <c r="BY10" i="22"/>
  <c r="BY11" i="22" s="1"/>
  <c r="BY12" i="22" s="1"/>
  <c r="BY13" i="22" s="1"/>
  <c r="BY14" i="22" s="1"/>
  <c r="BY15" i="22" s="1"/>
  <c r="BY16" i="22" s="1"/>
  <c r="BY17" i="22" s="1"/>
  <c r="BY18" i="22" s="1"/>
  <c r="BY19" i="22" s="1"/>
  <c r="BY20" i="22" s="1"/>
  <c r="BY21" i="22" s="1"/>
  <c r="BY22" i="22" s="1"/>
  <c r="BY23" i="22" s="1"/>
  <c r="BY24" i="22" s="1"/>
  <c r="BY25" i="22" s="1"/>
  <c r="BY26" i="22" s="1"/>
  <c r="BY27" i="22" s="1"/>
  <c r="BY28" i="22" s="1"/>
  <c r="AP10" i="22"/>
  <c r="AP11" i="22" s="1"/>
  <c r="AP12" i="22" s="1"/>
  <c r="AP13" i="22" s="1"/>
  <c r="AP14" i="22" s="1"/>
  <c r="AP15" i="22" s="1"/>
  <c r="AP16" i="22" s="1"/>
  <c r="AP17" i="22" s="1"/>
  <c r="AP18" i="22" s="1"/>
  <c r="AP19" i="22" s="1"/>
  <c r="AP20" i="22" s="1"/>
  <c r="AP21" i="22" s="1"/>
  <c r="AP22" i="22" s="1"/>
  <c r="AP23" i="22" s="1"/>
  <c r="AP24" i="22" s="1"/>
  <c r="AP25" i="22" s="1"/>
  <c r="AP26" i="22" s="1"/>
  <c r="AP27" i="22" s="1"/>
  <c r="AP28" i="22" s="1"/>
  <c r="AN10" i="22"/>
  <c r="AN11" i="22" s="1"/>
  <c r="AN12" i="22" s="1"/>
  <c r="AN13" i="22" s="1"/>
  <c r="AT54" i="22"/>
  <c r="AT10" i="22" s="1"/>
  <c r="AT11" i="22" s="1"/>
  <c r="AT12" i="22" s="1"/>
  <c r="AT13" i="22" s="1"/>
  <c r="AT14" i="22" s="1"/>
  <c r="AT15" i="22" s="1"/>
  <c r="AT16" i="22" s="1"/>
  <c r="AT17" i="22" s="1"/>
  <c r="AT18" i="22" s="1"/>
  <c r="AT19" i="22" s="1"/>
  <c r="AT20" i="22" s="1"/>
  <c r="AT21" i="22" s="1"/>
  <c r="AT22" i="22" s="1"/>
  <c r="AT23" i="22" s="1"/>
  <c r="AT24" i="22" s="1"/>
  <c r="AT25" i="22" s="1"/>
  <c r="AT26" i="22" s="1"/>
  <c r="AT27" i="22" s="1"/>
  <c r="AT28" i="22" s="1"/>
  <c r="D62" i="19"/>
  <c r="B62" i="19"/>
  <c r="E62" i="19"/>
  <c r="B54" i="19"/>
  <c r="L9" i="18"/>
  <c r="E54" i="19" s="1"/>
  <c r="J9" i="18"/>
  <c r="B105" i="18"/>
  <c r="C12" i="19"/>
  <c r="AD54" i="22"/>
  <c r="AD10" i="22" s="1"/>
  <c r="AD11" i="22" s="1"/>
  <c r="AD12" i="22" s="1"/>
  <c r="AD13" i="22" s="1"/>
  <c r="AD14" i="22" s="1"/>
  <c r="AD15" i="22" s="1"/>
  <c r="AD16" i="22" s="1"/>
  <c r="AD17" i="22" s="1"/>
  <c r="AD18" i="22" s="1"/>
  <c r="AD19" i="22" s="1"/>
  <c r="AD20" i="22" s="1"/>
  <c r="AD21" i="22" s="1"/>
  <c r="AD22" i="22" s="1"/>
  <c r="AD23" i="22" s="1"/>
  <c r="AD24" i="22" s="1"/>
  <c r="AD25" i="22" s="1"/>
  <c r="AD26" i="22" s="1"/>
  <c r="AD27" i="22" s="1"/>
  <c r="AD28" i="22" s="1"/>
  <c r="AK30" i="22"/>
  <c r="AK31" i="22" s="1"/>
  <c r="AK32" i="22" s="1"/>
  <c r="AK33" i="22" s="1"/>
  <c r="AK34" i="22" s="1"/>
  <c r="AK35" i="22" s="1"/>
  <c r="AK36" i="22" s="1"/>
  <c r="AK37" i="22" s="1"/>
  <c r="AK38" i="22" s="1"/>
  <c r="AK39" i="22" s="1"/>
  <c r="AK40" i="22" s="1"/>
  <c r="AK41" i="22" s="1"/>
  <c r="AK42" i="22" s="1"/>
  <c r="AK43" i="22" s="1"/>
  <c r="AK44" i="22" s="1"/>
  <c r="AK45" i="22" s="1"/>
  <c r="AK46" i="22" s="1"/>
  <c r="AK47" i="22" s="1"/>
  <c r="AK48" i="22" s="1"/>
  <c r="AK49" i="22" s="1"/>
  <c r="AK50" i="22" s="1"/>
  <c r="AK51" i="22" s="1"/>
  <c r="AK52" i="22" s="1"/>
  <c r="AK53" i="22" s="1"/>
  <c r="AK54" i="22"/>
  <c r="AK10" i="22" s="1"/>
  <c r="AK11" i="22" s="1"/>
  <c r="AK12" i="22" s="1"/>
  <c r="AK13" i="22" s="1"/>
  <c r="AK14" i="22" s="1"/>
  <c r="AK15" i="22" s="1"/>
  <c r="AK16" i="22" s="1"/>
  <c r="AK17" i="22" s="1"/>
  <c r="AK18" i="22" s="1"/>
  <c r="AK19" i="22" s="1"/>
  <c r="AK20" i="22" s="1"/>
  <c r="AK21" i="22" s="1"/>
  <c r="AK22" i="22" s="1"/>
  <c r="AK23" i="22" s="1"/>
  <c r="AK24" i="22" s="1"/>
  <c r="AK25" i="22" s="1"/>
  <c r="AK26" i="22" s="1"/>
  <c r="AK27" i="22" s="1"/>
  <c r="AK28" i="22" s="1"/>
  <c r="E61" i="19"/>
  <c r="B61" i="19"/>
  <c r="K9" i="18"/>
  <c r="D54" i="19" s="1"/>
  <c r="D61" i="19"/>
  <c r="D59" i="19"/>
  <c r="B59" i="19"/>
  <c r="D10" i="33"/>
  <c r="E10" i="33" s="1"/>
  <c r="B12" i="19"/>
  <c r="G21" i="28"/>
  <c r="L86" i="19" s="1"/>
  <c r="H7" i="18"/>
  <c r="E8" i="19" s="1"/>
  <c r="F7" i="18"/>
  <c r="F21" i="28"/>
  <c r="K86" i="19" s="1"/>
  <c r="AX30" i="22"/>
  <c r="AX31" i="22" s="1"/>
  <c r="AX32" i="22" s="1"/>
  <c r="AX33" i="22" s="1"/>
  <c r="AX34" i="22" s="1"/>
  <c r="AX35" i="22" s="1"/>
  <c r="AX36" i="22" s="1"/>
  <c r="AX37" i="22" s="1"/>
  <c r="AX38" i="22" s="1"/>
  <c r="AX39" i="22" s="1"/>
  <c r="AX40" i="22" s="1"/>
  <c r="AX41" i="22" s="1"/>
  <c r="AX42" i="22" s="1"/>
  <c r="AX43" i="22" s="1"/>
  <c r="AX44" i="22" s="1"/>
  <c r="AX45" i="22" s="1"/>
  <c r="AX46" i="22" s="1"/>
  <c r="AX47" i="22" s="1"/>
  <c r="AX48" i="22" s="1"/>
  <c r="AX49" i="22" s="1"/>
  <c r="AX50" i="22" s="1"/>
  <c r="AX51" i="22" s="1"/>
  <c r="AX52" i="22" s="1"/>
  <c r="AX53" i="22" s="1"/>
  <c r="BN30" i="22"/>
  <c r="BN31" i="22" s="1"/>
  <c r="BN32" i="22" s="1"/>
  <c r="BN33" i="22" s="1"/>
  <c r="BN34" i="22" s="1"/>
  <c r="BN35" i="22" s="1"/>
  <c r="BN36" i="22" s="1"/>
  <c r="BN37" i="22" s="1"/>
  <c r="BN38" i="22" s="1"/>
  <c r="BN39" i="22" s="1"/>
  <c r="BN40" i="22" s="1"/>
  <c r="BN41" i="22" s="1"/>
  <c r="BN42" i="22" s="1"/>
  <c r="BN43" i="22" s="1"/>
  <c r="BN44" i="22" s="1"/>
  <c r="BN45" i="22" s="1"/>
  <c r="BN46" i="22" s="1"/>
  <c r="BN47" i="22" s="1"/>
  <c r="BN48" i="22" s="1"/>
  <c r="BN49" i="22" s="1"/>
  <c r="BN50" i="22" s="1"/>
  <c r="BN51" i="22" s="1"/>
  <c r="BN52" i="22" s="1"/>
  <c r="BN53" i="22" s="1"/>
  <c r="BN54" i="22"/>
  <c r="BN10" i="22" s="1"/>
  <c r="BN11" i="22" s="1"/>
  <c r="BN12" i="22" s="1"/>
  <c r="BN13" i="22" s="1"/>
  <c r="BN14" i="22" s="1"/>
  <c r="BN15" i="22" s="1"/>
  <c r="BN16" i="22" s="1"/>
  <c r="BN17" i="22" s="1"/>
  <c r="BN18" i="22" s="1"/>
  <c r="BN19" i="22" s="1"/>
  <c r="BN20" i="22" s="1"/>
  <c r="BN21" i="22" s="1"/>
  <c r="BN22" i="22" s="1"/>
  <c r="BN23" i="22" s="1"/>
  <c r="BN24" i="22" s="1"/>
  <c r="BN25" i="22" s="1"/>
  <c r="BN26" i="22" s="1"/>
  <c r="BN27" i="22" s="1"/>
  <c r="BN28" i="22" s="1"/>
  <c r="BU30" i="22"/>
  <c r="BU31" i="22" s="1"/>
  <c r="BU32" i="22" s="1"/>
  <c r="BU33" i="22" s="1"/>
  <c r="BU34" i="22" s="1"/>
  <c r="BU35" i="22" s="1"/>
  <c r="BU36" i="22" s="1"/>
  <c r="BU37" i="22" s="1"/>
  <c r="BU38" i="22" s="1"/>
  <c r="BU39" i="22" s="1"/>
  <c r="BU40" i="22" s="1"/>
  <c r="BU41" i="22" s="1"/>
  <c r="BU42" i="22" s="1"/>
  <c r="BU43" i="22" s="1"/>
  <c r="BU44" i="22" s="1"/>
  <c r="BU45" i="22" s="1"/>
  <c r="BU46" i="22" s="1"/>
  <c r="BU47" i="22" s="1"/>
  <c r="BU48" i="22" s="1"/>
  <c r="BU49" i="22" s="1"/>
  <c r="BU50" i="22" s="1"/>
  <c r="BU51" i="22" s="1"/>
  <c r="BU52" i="22" s="1"/>
  <c r="BU53" i="22" s="1"/>
  <c r="BU54" i="22"/>
  <c r="BU10" i="22" s="1"/>
  <c r="BU11" i="22" s="1"/>
  <c r="BU12" i="22" s="1"/>
  <c r="BU13" i="22" s="1"/>
  <c r="BU14" i="22" s="1"/>
  <c r="BU15" i="22" s="1"/>
  <c r="BU16" i="22" s="1"/>
  <c r="BU17" i="22" s="1"/>
  <c r="BU18" i="22" s="1"/>
  <c r="BU19" i="22" s="1"/>
  <c r="BU20" i="22" s="1"/>
  <c r="BU21" i="22" s="1"/>
  <c r="BU22" i="22" s="1"/>
  <c r="BU23" i="22" s="1"/>
  <c r="BU24" i="22" s="1"/>
  <c r="BU25" i="22" s="1"/>
  <c r="BU26" i="22" s="1"/>
  <c r="BU27" i="22" s="1"/>
  <c r="BU28" i="22" s="1"/>
  <c r="C8" i="18"/>
  <c r="E8" i="18" s="1"/>
  <c r="C6" i="18"/>
  <c r="E6" i="18" s="1"/>
  <c r="E29" i="28"/>
  <c r="C4" i="18"/>
  <c r="E4" i="18" s="1"/>
  <c r="D16" i="19"/>
  <c r="C10" i="18"/>
  <c r="E10" i="18" s="1"/>
  <c r="C9" i="18"/>
  <c r="E9" i="18" s="1"/>
  <c r="C5" i="18"/>
  <c r="E5" i="18" s="1"/>
  <c r="C3" i="18"/>
  <c r="B56" i="18"/>
  <c r="L4" i="18"/>
  <c r="E49" i="19" s="1"/>
  <c r="J4" i="18"/>
  <c r="K4" i="18"/>
  <c r="D49" i="19" s="1"/>
  <c r="B14" i="19"/>
  <c r="D14" i="19"/>
  <c r="E14" i="19"/>
  <c r="B98" i="18"/>
  <c r="BH54" i="22"/>
  <c r="BH10" i="22" s="1"/>
  <c r="BH11" i="22" s="1"/>
  <c r="BH12" i="22" s="1"/>
  <c r="BH13" i="22" s="1"/>
  <c r="BH14" i="22" s="1"/>
  <c r="BH15" i="22" s="1"/>
  <c r="BH16" i="22" s="1"/>
  <c r="BH17" i="22" s="1"/>
  <c r="BH18" i="22" s="1"/>
  <c r="BH19" i="22" s="1"/>
  <c r="BH20" i="22" s="1"/>
  <c r="BH21" i="22" s="1"/>
  <c r="BH22" i="22" s="1"/>
  <c r="BH23" i="22" s="1"/>
  <c r="BH24" i="22" s="1"/>
  <c r="BH25" i="22" s="1"/>
  <c r="BH26" i="22" s="1"/>
  <c r="BH27" i="22" s="1"/>
  <c r="BH28" i="22" s="1"/>
  <c r="BF54" i="22"/>
  <c r="BF10" i="22" s="1"/>
  <c r="BF11" i="22" s="1"/>
  <c r="BF12" i="22" s="1"/>
  <c r="BF13" i="22" s="1"/>
  <c r="BF14" i="22" s="1"/>
  <c r="BF15" i="22" s="1"/>
  <c r="BF16" i="22" s="1"/>
  <c r="BF17" i="22" s="1"/>
  <c r="BF18" i="22" s="1"/>
  <c r="BF19" i="22" s="1"/>
  <c r="BF20" i="22" s="1"/>
  <c r="BF21" i="22" s="1"/>
  <c r="BF22" i="22" s="1"/>
  <c r="BF23" i="22" s="1"/>
  <c r="BF24" i="22" s="1"/>
  <c r="BF25" i="22" s="1"/>
  <c r="BF26" i="22" s="1"/>
  <c r="BF27" i="22" s="1"/>
  <c r="BF28" i="22" s="1"/>
  <c r="BF30" i="22"/>
  <c r="BF31" i="22" s="1"/>
  <c r="BF32" i="22" s="1"/>
  <c r="BF33" i="22" s="1"/>
  <c r="BF34" i="22" s="1"/>
  <c r="BF35" i="22" s="1"/>
  <c r="BF36" i="22" s="1"/>
  <c r="BF37" i="22" s="1"/>
  <c r="BF38" i="22" s="1"/>
  <c r="BF39" i="22" s="1"/>
  <c r="BF40" i="22" s="1"/>
  <c r="BF41" i="22" s="1"/>
  <c r="BF42" i="22" s="1"/>
  <c r="BF43" i="22" s="1"/>
  <c r="BF44" i="22" s="1"/>
  <c r="BF45" i="22" s="1"/>
  <c r="BF46" i="22" s="1"/>
  <c r="BF47" i="22" s="1"/>
  <c r="BF48" i="22" s="1"/>
  <c r="BF49" i="22" s="1"/>
  <c r="BF50" i="22" s="1"/>
  <c r="BF51" i="22" s="1"/>
  <c r="BF52" i="22" s="1"/>
  <c r="BF53" i="22" s="1"/>
  <c r="BZ30" i="22"/>
  <c r="BZ31" i="22" s="1"/>
  <c r="BZ32" i="22" s="1"/>
  <c r="BZ33" i="22" s="1"/>
  <c r="BZ34" i="22" s="1"/>
  <c r="BZ35" i="22" s="1"/>
  <c r="BZ36" i="22" s="1"/>
  <c r="BZ37" i="22" s="1"/>
  <c r="BZ38" i="22" s="1"/>
  <c r="BZ39" i="22" s="1"/>
  <c r="BZ40" i="22" s="1"/>
  <c r="BZ41" i="22" s="1"/>
  <c r="BZ42" i="22" s="1"/>
  <c r="BZ43" i="22" s="1"/>
  <c r="BZ44" i="22" s="1"/>
  <c r="BZ45" i="22" s="1"/>
  <c r="BZ46" i="22" s="1"/>
  <c r="BZ47" i="22" s="1"/>
  <c r="BZ48" i="22" s="1"/>
  <c r="BZ49" i="22" s="1"/>
  <c r="BZ50" i="22" s="1"/>
  <c r="BZ51" i="22" s="1"/>
  <c r="BZ52" i="22" s="1"/>
  <c r="BZ53" i="22" s="1"/>
  <c r="BZ54" i="22"/>
  <c r="BZ10" i="22" s="1"/>
  <c r="BZ11" i="22" s="1"/>
  <c r="BZ12" i="22" s="1"/>
  <c r="BZ13" i="22" s="1"/>
  <c r="BZ14" i="22" s="1"/>
  <c r="BZ15" i="22" s="1"/>
  <c r="BZ16" i="22" s="1"/>
  <c r="BZ17" i="22" s="1"/>
  <c r="BZ18" i="22" s="1"/>
  <c r="BZ19" i="22" s="1"/>
  <c r="BZ20" i="22" s="1"/>
  <c r="BZ21" i="22" s="1"/>
  <c r="BZ22" i="22" s="1"/>
  <c r="BZ23" i="22" s="1"/>
  <c r="BZ24" i="22" s="1"/>
  <c r="BZ25" i="22" s="1"/>
  <c r="BZ26" i="22" s="1"/>
  <c r="BZ27" i="22" s="1"/>
  <c r="BZ28" i="22" s="1"/>
  <c r="F29" i="28"/>
  <c r="D53" i="18" s="1"/>
  <c r="B8" i="33"/>
  <c r="AC54" i="22"/>
  <c r="AC10" i="22" s="1"/>
  <c r="AC11" i="22" s="1"/>
  <c r="AC12" i="22" s="1"/>
  <c r="AC13" i="22" s="1"/>
  <c r="AC14" i="22" s="1"/>
  <c r="AC15" i="22" s="1"/>
  <c r="AC16" i="22" s="1"/>
  <c r="AC17" i="22" s="1"/>
  <c r="AC18" i="22" s="1"/>
  <c r="AC19" i="22" s="1"/>
  <c r="AC20" i="22" s="1"/>
  <c r="AC21" i="22" s="1"/>
  <c r="AC22" i="22" s="1"/>
  <c r="AC23" i="22" s="1"/>
  <c r="AC24" i="22" s="1"/>
  <c r="AC25" i="22" s="1"/>
  <c r="AC26" i="22" s="1"/>
  <c r="AC27" i="22" s="1"/>
  <c r="AC28" i="22" s="1"/>
  <c r="F65" i="19"/>
  <c r="G65" i="19" s="1"/>
  <c r="K3" i="18"/>
  <c r="F23" i="28"/>
  <c r="B9" i="33"/>
  <c r="G9" i="33" s="1"/>
  <c r="H58" i="19"/>
  <c r="J3" i="18"/>
  <c r="C48" i="19" s="1"/>
  <c r="B7" i="33"/>
  <c r="G7" i="33" s="1"/>
  <c r="BP30" i="22"/>
  <c r="BP31" i="22" s="1"/>
  <c r="BP32" i="22" s="1"/>
  <c r="BP33" i="22" s="1"/>
  <c r="BP34" i="22" s="1"/>
  <c r="BP35" i="22" s="1"/>
  <c r="BP36" i="22" s="1"/>
  <c r="BP37" i="22" s="1"/>
  <c r="BP38" i="22" s="1"/>
  <c r="BP39" i="22" s="1"/>
  <c r="BP40" i="22" s="1"/>
  <c r="BP41" i="22" s="1"/>
  <c r="BP42" i="22" s="1"/>
  <c r="BP43" i="22" s="1"/>
  <c r="BP44" i="22" s="1"/>
  <c r="BP45" i="22" s="1"/>
  <c r="BP46" i="22" s="1"/>
  <c r="BP47" i="22" s="1"/>
  <c r="BP48" i="22" s="1"/>
  <c r="BP49" i="22" s="1"/>
  <c r="BP50" i="22" s="1"/>
  <c r="BP51" i="22" s="1"/>
  <c r="BP52" i="22" s="1"/>
  <c r="BP53" i="22" s="1"/>
  <c r="D3" i="33"/>
  <c r="E3" i="33" s="1"/>
  <c r="AG15" i="22"/>
  <c r="AG16" i="22" s="1"/>
  <c r="AG17" i="22" s="1"/>
  <c r="AG18" i="22" s="1"/>
  <c r="AG19" i="22" s="1"/>
  <c r="AG20" i="22" s="1"/>
  <c r="AG21" i="22" s="1"/>
  <c r="AG22" i="22" s="1"/>
  <c r="AG23" i="22" s="1"/>
  <c r="AG24" i="22" s="1"/>
  <c r="AG25" i="22" s="1"/>
  <c r="AG26" i="22" s="1"/>
  <c r="AG27" i="22" s="1"/>
  <c r="AG28" i="22" s="1"/>
  <c r="E64" i="19"/>
  <c r="D12" i="19"/>
  <c r="H12" i="19"/>
  <c r="H60" i="19"/>
  <c r="AN14" i="22"/>
  <c r="AN15" i="22" s="1"/>
  <c r="B19" i="19"/>
  <c r="E19" i="19"/>
  <c r="F16" i="28"/>
  <c r="F17" i="28"/>
  <c r="O42" i="19" s="1"/>
  <c r="B99" i="18"/>
  <c r="K8" i="18"/>
  <c r="J8" i="18"/>
  <c r="L8" i="18"/>
  <c r="E53" i="19" s="1"/>
  <c r="J5" i="18"/>
  <c r="L5" i="18"/>
  <c r="B55" i="19"/>
  <c r="L10" i="18"/>
  <c r="J10" i="18"/>
  <c r="G23" i="28"/>
  <c r="BM54" i="22"/>
  <c r="BM10" i="22" s="1"/>
  <c r="BM11" i="22" s="1"/>
  <c r="BM30" i="22"/>
  <c r="BM31" i="22" s="1"/>
  <c r="BM32" i="22" s="1"/>
  <c r="BM33" i="22" s="1"/>
  <c r="BM34" i="22" s="1"/>
  <c r="BM35" i="22" s="1"/>
  <c r="BM36" i="22" s="1"/>
  <c r="BM37" i="22" s="1"/>
  <c r="BM38" i="22" s="1"/>
  <c r="BM39" i="22" s="1"/>
  <c r="BM40" i="22" s="1"/>
  <c r="BM41" i="22" s="1"/>
  <c r="BM42" i="22" s="1"/>
  <c r="BM43" i="22" s="1"/>
  <c r="BM44" i="22" s="1"/>
  <c r="BM45" i="22" s="1"/>
  <c r="BM46" i="22" s="1"/>
  <c r="BM47" i="22" s="1"/>
  <c r="BM48" i="22" s="1"/>
  <c r="BM49" i="22" s="1"/>
  <c r="BM50" i="22" s="1"/>
  <c r="BM51" i="22" s="1"/>
  <c r="BM52" i="22" s="1"/>
  <c r="BM53" i="22" s="1"/>
  <c r="AW30" i="22"/>
  <c r="AW31" i="22" s="1"/>
  <c r="AW32" i="22" s="1"/>
  <c r="AW33" i="22" s="1"/>
  <c r="AW34" i="22" s="1"/>
  <c r="AW35" i="22" s="1"/>
  <c r="AW36" i="22" s="1"/>
  <c r="AW37" i="22" s="1"/>
  <c r="AW38" i="22" s="1"/>
  <c r="AW39" i="22" s="1"/>
  <c r="AW40" i="22" s="1"/>
  <c r="AW41" i="22" s="1"/>
  <c r="AW42" i="22" s="1"/>
  <c r="AW43" i="22" s="1"/>
  <c r="AW44" i="22" s="1"/>
  <c r="AW45" i="22" s="1"/>
  <c r="AW46" i="22" s="1"/>
  <c r="AW47" i="22" s="1"/>
  <c r="AW48" i="22" s="1"/>
  <c r="AW49" i="22" s="1"/>
  <c r="AW50" i="22" s="1"/>
  <c r="AW51" i="22" s="1"/>
  <c r="AW52" i="22" s="1"/>
  <c r="AW53" i="22" s="1"/>
  <c r="AW54" i="22"/>
  <c r="AW10" i="22" s="1"/>
  <c r="AW11" i="22" s="1"/>
  <c r="AW12" i="22" s="1"/>
  <c r="AW13" i="22" s="1"/>
  <c r="AW14" i="22" s="1"/>
  <c r="AW15" i="22" s="1"/>
  <c r="AW16" i="22" s="1"/>
  <c r="AW17" i="22" s="1"/>
  <c r="AW18" i="22" s="1"/>
  <c r="AW19" i="22" s="1"/>
  <c r="AW20" i="22" s="1"/>
  <c r="AW21" i="22" s="1"/>
  <c r="AW22" i="22" s="1"/>
  <c r="AW23" i="22" s="1"/>
  <c r="AW24" i="22" s="1"/>
  <c r="AW25" i="22" s="1"/>
  <c r="AW26" i="22" s="1"/>
  <c r="AW27" i="22" s="1"/>
  <c r="AW28" i="22" s="1"/>
  <c r="BD54" i="22"/>
  <c r="BD10" i="22" s="1"/>
  <c r="BD11" i="22" s="1"/>
  <c r="BD12" i="22" s="1"/>
  <c r="BD13" i="22" s="1"/>
  <c r="BD14" i="22" s="1"/>
  <c r="BD15" i="22" s="1"/>
  <c r="BD16" i="22" s="1"/>
  <c r="BD17" i="22" s="1"/>
  <c r="BD18" i="22" s="1"/>
  <c r="BD19" i="22" s="1"/>
  <c r="BD20" i="22" s="1"/>
  <c r="BD21" i="22" s="1"/>
  <c r="BD22" i="22" s="1"/>
  <c r="BD23" i="22" s="1"/>
  <c r="BD24" i="22" s="1"/>
  <c r="BD25" i="22" s="1"/>
  <c r="BD26" i="22" s="1"/>
  <c r="BD27" i="22" s="1"/>
  <c r="BD28" i="22" s="1"/>
  <c r="B64" i="18"/>
  <c r="D8" i="33" l="1"/>
  <c r="E8" i="33" s="1"/>
  <c r="G8" i="33"/>
  <c r="F128" i="29"/>
  <c r="K128" i="29" s="1"/>
  <c r="R42" i="19"/>
  <c r="L85" i="29"/>
  <c r="G128" i="29"/>
  <c r="L128" i="29" s="1"/>
  <c r="O86" i="19"/>
  <c r="R86" i="19" s="1"/>
  <c r="K41" i="31"/>
  <c r="L41" i="31" s="1"/>
  <c r="M41" i="31" s="1"/>
  <c r="P42" i="19"/>
  <c r="N42" i="19"/>
  <c r="M86" i="19"/>
  <c r="G41" i="31" s="1"/>
  <c r="H41" i="31" s="1"/>
  <c r="I41" i="31" s="1"/>
  <c r="K85" i="29"/>
  <c r="F60" i="19"/>
  <c r="G60" i="19" s="1"/>
  <c r="F64" i="19"/>
  <c r="N19" i="31" s="1"/>
  <c r="E48" i="19"/>
  <c r="N20" i="31"/>
  <c r="D48" i="19"/>
  <c r="E3" i="18"/>
  <c r="B4" i="19" s="1"/>
  <c r="D25" i="18"/>
  <c r="I25" i="18" s="1"/>
  <c r="B26" i="18"/>
  <c r="C25" i="18"/>
  <c r="E25" i="18" s="1"/>
  <c r="K24" i="18"/>
  <c r="L24" i="18"/>
  <c r="J24" i="18"/>
  <c r="G24" i="18"/>
  <c r="H24" i="18"/>
  <c r="F24" i="18"/>
  <c r="B16" i="19"/>
  <c r="C52" i="19"/>
  <c r="F52" i="19" s="1"/>
  <c r="H52" i="19"/>
  <c r="C51" i="19"/>
  <c r="F51" i="19" s="1"/>
  <c r="H51" i="19"/>
  <c r="D54" i="18"/>
  <c r="I54" i="18" s="1"/>
  <c r="D47" i="18"/>
  <c r="I47" i="18" s="1"/>
  <c r="F28" i="28"/>
  <c r="C64" i="18" s="1"/>
  <c r="E15" i="19"/>
  <c r="D15" i="19"/>
  <c r="B15" i="19"/>
  <c r="D52" i="18"/>
  <c r="I52" i="18" s="1"/>
  <c r="D7" i="33"/>
  <c r="E7" i="33" s="1"/>
  <c r="E13" i="19"/>
  <c r="D13" i="19"/>
  <c r="B13" i="19"/>
  <c r="C62" i="19"/>
  <c r="F62" i="19" s="1"/>
  <c r="H62" i="19"/>
  <c r="D18" i="19"/>
  <c r="B18" i="19"/>
  <c r="E18" i="19"/>
  <c r="B11" i="19"/>
  <c r="F10" i="18"/>
  <c r="G10" i="18"/>
  <c r="D11" i="19" s="1"/>
  <c r="H10" i="18"/>
  <c r="E11" i="19" s="1"/>
  <c r="C8" i="19"/>
  <c r="H8" i="19"/>
  <c r="D62" i="18"/>
  <c r="G8" i="18"/>
  <c r="D9" i="19" s="1"/>
  <c r="B9" i="19"/>
  <c r="H8" i="18"/>
  <c r="E9" i="19" s="1"/>
  <c r="F8" i="18"/>
  <c r="D49" i="18"/>
  <c r="D50" i="18"/>
  <c r="D94" i="18" s="1"/>
  <c r="D51" i="18"/>
  <c r="D95" i="18" s="1"/>
  <c r="D59" i="18"/>
  <c r="D103" i="18" s="1"/>
  <c r="D55" i="18"/>
  <c r="I55" i="18" s="1"/>
  <c r="B56" i="19"/>
  <c r="D56" i="19"/>
  <c r="E56" i="19"/>
  <c r="D56" i="18"/>
  <c r="B100" i="18"/>
  <c r="F4" i="18"/>
  <c r="B5" i="19"/>
  <c r="H4" i="18"/>
  <c r="E5" i="19" s="1"/>
  <c r="G4" i="18"/>
  <c r="D5" i="19" s="1"/>
  <c r="B7" i="19"/>
  <c r="F6" i="18"/>
  <c r="H6" i="18"/>
  <c r="E7" i="19" s="1"/>
  <c r="G6" i="18"/>
  <c r="D7" i="19" s="1"/>
  <c r="D21" i="19"/>
  <c r="B21" i="19"/>
  <c r="E21" i="19"/>
  <c r="E57" i="19"/>
  <c r="D57" i="19"/>
  <c r="B57" i="19"/>
  <c r="D57" i="18"/>
  <c r="D101" i="18" s="1"/>
  <c r="C14" i="19"/>
  <c r="H14" i="19"/>
  <c r="E13" i="30" s="1"/>
  <c r="G3" i="18"/>
  <c r="B17" i="19"/>
  <c r="E17" i="19"/>
  <c r="C17" i="19"/>
  <c r="C59" i="19"/>
  <c r="F59" i="19" s="1"/>
  <c r="N14" i="31" s="1"/>
  <c r="H59" i="19"/>
  <c r="C61" i="19"/>
  <c r="F61" i="19" s="1"/>
  <c r="H61" i="19"/>
  <c r="D61" i="18"/>
  <c r="D63" i="19"/>
  <c r="F63" i="19" s="1"/>
  <c r="H63" i="19"/>
  <c r="H48" i="19"/>
  <c r="G5" i="18"/>
  <c r="D6" i="19" s="1"/>
  <c r="H5" i="18"/>
  <c r="E6" i="19" s="1"/>
  <c r="B6" i="19"/>
  <c r="F5" i="18"/>
  <c r="E20" i="19"/>
  <c r="B20" i="19"/>
  <c r="D63" i="18"/>
  <c r="D9" i="33"/>
  <c r="E9" i="33" s="1"/>
  <c r="C49" i="19"/>
  <c r="F49" i="19" s="1"/>
  <c r="H49" i="19"/>
  <c r="H9" i="18"/>
  <c r="E10" i="19" s="1"/>
  <c r="F9" i="18"/>
  <c r="B10" i="19"/>
  <c r="G9" i="18"/>
  <c r="D10" i="19" s="1"/>
  <c r="D60" i="18"/>
  <c r="D58" i="18"/>
  <c r="D48" i="18"/>
  <c r="E28" i="28"/>
  <c r="H54" i="19"/>
  <c r="C54" i="19"/>
  <c r="F54" i="19" s="1"/>
  <c r="B65" i="18"/>
  <c r="C55" i="19"/>
  <c r="H55" i="19"/>
  <c r="E50" i="19"/>
  <c r="D53" i="19"/>
  <c r="D20" i="19"/>
  <c r="H19" i="19"/>
  <c r="C19" i="19"/>
  <c r="AO19" i="22"/>
  <c r="AO20" i="22" s="1"/>
  <c r="C16" i="19"/>
  <c r="H16" i="19"/>
  <c r="E15" i="30" s="1"/>
  <c r="N15" i="31"/>
  <c r="F12" i="29"/>
  <c r="K12" i="29" s="1"/>
  <c r="F12" i="19"/>
  <c r="G12" i="29"/>
  <c r="L12" i="29" s="1"/>
  <c r="B108" i="18"/>
  <c r="D64" i="18"/>
  <c r="E55" i="19"/>
  <c r="C50" i="19"/>
  <c r="H50" i="19"/>
  <c r="C20" i="19"/>
  <c r="BV25" i="22"/>
  <c r="BV26" i="22" s="1"/>
  <c r="BV27" i="22" s="1"/>
  <c r="BV28" i="22" s="1"/>
  <c r="E16" i="19"/>
  <c r="BM12" i="22"/>
  <c r="D97" i="18"/>
  <c r="I53" i="18"/>
  <c r="H53" i="19"/>
  <c r="C53" i="19"/>
  <c r="AN16" i="22"/>
  <c r="O41" i="31" l="1"/>
  <c r="P41" i="31" s="1"/>
  <c r="P86" i="19"/>
  <c r="N86" i="19"/>
  <c r="B85" i="29" s="1"/>
  <c r="B128" i="29" s="1"/>
  <c r="Q42" i="19"/>
  <c r="C41" i="31"/>
  <c r="D41" i="31" s="1"/>
  <c r="E41" i="31" s="1"/>
  <c r="F41" i="30"/>
  <c r="G41" i="30" s="1"/>
  <c r="G64" i="19"/>
  <c r="F48" i="19"/>
  <c r="N3" i="31" s="1"/>
  <c r="D91" i="18"/>
  <c r="D4" i="19"/>
  <c r="F3" i="18"/>
  <c r="C4" i="19" s="1"/>
  <c r="H3" i="18"/>
  <c r="D98" i="18"/>
  <c r="B27" i="18"/>
  <c r="C26" i="18"/>
  <c r="E26" i="18" s="1"/>
  <c r="D26" i="18"/>
  <c r="I26" i="18" s="1"/>
  <c r="L25" i="18"/>
  <c r="J25" i="18"/>
  <c r="K25" i="18"/>
  <c r="H25" i="18"/>
  <c r="F25" i="18"/>
  <c r="G25" i="18"/>
  <c r="G51" i="19"/>
  <c r="N6" i="31"/>
  <c r="G52" i="19"/>
  <c r="C8" i="29" s="1"/>
  <c r="H8" i="29" s="1"/>
  <c r="N7" i="31"/>
  <c r="H20" i="19"/>
  <c r="E19" i="30" s="1"/>
  <c r="I50" i="18"/>
  <c r="I94" i="18" s="1"/>
  <c r="D99" i="18"/>
  <c r="E18" i="30"/>
  <c r="G59" i="19"/>
  <c r="E7" i="30"/>
  <c r="I59" i="18"/>
  <c r="I60" i="19" s="1"/>
  <c r="I57" i="18"/>
  <c r="K57" i="18" s="1"/>
  <c r="D96" i="18"/>
  <c r="G62" i="19"/>
  <c r="N17" i="31"/>
  <c r="C15" i="19"/>
  <c r="H15" i="19"/>
  <c r="E14" i="30" s="1"/>
  <c r="I48" i="18"/>
  <c r="D92" i="18"/>
  <c r="D106" i="18"/>
  <c r="I62" i="18"/>
  <c r="D107" i="18"/>
  <c r="I63" i="18"/>
  <c r="H9" i="19"/>
  <c r="E8" i="30" s="1"/>
  <c r="C9" i="19"/>
  <c r="G49" i="19"/>
  <c r="N4" i="31"/>
  <c r="D100" i="18"/>
  <c r="I56" i="18"/>
  <c r="D102" i="18"/>
  <c r="I58" i="18"/>
  <c r="G61" i="19"/>
  <c r="N16" i="31"/>
  <c r="C7" i="19"/>
  <c r="H7" i="19"/>
  <c r="E6" i="30" s="1"/>
  <c r="I51" i="18"/>
  <c r="J51" i="18" s="1"/>
  <c r="D93" i="18"/>
  <c r="I49" i="18"/>
  <c r="N9" i="31"/>
  <c r="G54" i="19"/>
  <c r="C10" i="19"/>
  <c r="H10" i="19"/>
  <c r="E9" i="30" s="1"/>
  <c r="F14" i="19"/>
  <c r="D14" i="29"/>
  <c r="I14" i="29" s="1"/>
  <c r="G14" i="29"/>
  <c r="L14" i="29" s="1"/>
  <c r="F14" i="29"/>
  <c r="K14" i="29" s="1"/>
  <c r="C11" i="19"/>
  <c r="H11" i="19"/>
  <c r="E10" i="30" s="1"/>
  <c r="H56" i="19"/>
  <c r="E11" i="30" s="1"/>
  <c r="C56" i="19"/>
  <c r="F56" i="19" s="1"/>
  <c r="F8" i="19"/>
  <c r="G8" i="29"/>
  <c r="L8" i="29" s="1"/>
  <c r="F8" i="29"/>
  <c r="K8" i="29" s="1"/>
  <c r="C21" i="19"/>
  <c r="H21" i="19"/>
  <c r="E20" i="30" s="1"/>
  <c r="H6" i="19"/>
  <c r="E5" i="30" s="1"/>
  <c r="C6" i="19"/>
  <c r="N18" i="31"/>
  <c r="G63" i="19"/>
  <c r="D19" i="29" s="1"/>
  <c r="I19" i="29" s="1"/>
  <c r="H17" i="19"/>
  <c r="E16" i="30" s="1"/>
  <c r="D17" i="19"/>
  <c r="F17" i="19" s="1"/>
  <c r="H5" i="19"/>
  <c r="E4" i="30" s="1"/>
  <c r="C5" i="19"/>
  <c r="H13" i="19"/>
  <c r="C13" i="19"/>
  <c r="I55" i="19"/>
  <c r="L54" i="18"/>
  <c r="K54" i="18"/>
  <c r="J54" i="18"/>
  <c r="I98" i="18"/>
  <c r="I60" i="18"/>
  <c r="D104" i="18"/>
  <c r="C57" i="19"/>
  <c r="F57" i="19" s="1"/>
  <c r="H57" i="19"/>
  <c r="F53" i="19"/>
  <c r="N8" i="31" s="1"/>
  <c r="F50" i="19"/>
  <c r="N5" i="31" s="1"/>
  <c r="C58" i="18"/>
  <c r="C52" i="18"/>
  <c r="C49" i="18"/>
  <c r="C63" i="18"/>
  <c r="C54" i="18"/>
  <c r="C50" i="18"/>
  <c r="C62" i="18"/>
  <c r="C55" i="18"/>
  <c r="C60" i="18"/>
  <c r="C48" i="18"/>
  <c r="C51" i="18"/>
  <c r="C59" i="18"/>
  <c r="C56" i="18"/>
  <c r="C47" i="18"/>
  <c r="C61" i="18"/>
  <c r="C53" i="18"/>
  <c r="C57" i="18"/>
  <c r="I61" i="18"/>
  <c r="D105" i="18"/>
  <c r="C18" i="19"/>
  <c r="H18" i="19"/>
  <c r="E17" i="30" s="1"/>
  <c r="I54" i="19"/>
  <c r="L53" i="18"/>
  <c r="I97" i="18"/>
  <c r="K53" i="18"/>
  <c r="J53" i="18"/>
  <c r="J55" i="18"/>
  <c r="I99" i="18"/>
  <c r="I56" i="19"/>
  <c r="L55" i="18"/>
  <c r="K55" i="18"/>
  <c r="I95" i="18"/>
  <c r="G20" i="29"/>
  <c r="L20" i="29" s="1"/>
  <c r="D20" i="29"/>
  <c r="I20" i="29" s="1"/>
  <c r="F20" i="19"/>
  <c r="K50" i="18"/>
  <c r="L52" i="18"/>
  <c r="K52" i="18"/>
  <c r="I96" i="18"/>
  <c r="I53" i="19"/>
  <c r="J52" i="18"/>
  <c r="F16" i="19"/>
  <c r="F16" i="29"/>
  <c r="K16" i="29" s="1"/>
  <c r="G16" i="29"/>
  <c r="L16" i="29" s="1"/>
  <c r="D16" i="29"/>
  <c r="I16" i="29" s="1"/>
  <c r="F55" i="19"/>
  <c r="C65" i="18"/>
  <c r="B109" i="18"/>
  <c r="D65" i="18"/>
  <c r="G12" i="19"/>
  <c r="J11" i="31"/>
  <c r="F19" i="19"/>
  <c r="G19" i="29"/>
  <c r="L19" i="29" s="1"/>
  <c r="AN17" i="22"/>
  <c r="G48" i="19"/>
  <c r="BM13" i="22"/>
  <c r="D108" i="18"/>
  <c r="I64" i="18"/>
  <c r="AO21" i="22"/>
  <c r="K47" i="18"/>
  <c r="L47" i="18"/>
  <c r="I48" i="19"/>
  <c r="J47" i="18"/>
  <c r="I91" i="18"/>
  <c r="B5" i="33"/>
  <c r="G5" i="33" s="1"/>
  <c r="P18" i="24"/>
  <c r="B66" i="18"/>
  <c r="E64" i="18"/>
  <c r="C108" i="18"/>
  <c r="B42" i="33" l="1"/>
  <c r="C41" i="27"/>
  <c r="D41" i="27" s="1"/>
  <c r="E41" i="27" s="1"/>
  <c r="B41" i="32" s="1"/>
  <c r="Q41" i="31"/>
  <c r="E41" i="32" s="1"/>
  <c r="Q86" i="19"/>
  <c r="C41" i="30"/>
  <c r="F17" i="29"/>
  <c r="K17" i="29" s="1"/>
  <c r="I101" i="18"/>
  <c r="L51" i="18"/>
  <c r="J50" i="18"/>
  <c r="J51" i="19" s="1"/>
  <c r="K51" i="18"/>
  <c r="D15" i="29"/>
  <c r="I15" i="29" s="1"/>
  <c r="L50" i="18"/>
  <c r="L94" i="18" s="1"/>
  <c r="I52" i="19"/>
  <c r="E4" i="19"/>
  <c r="L57" i="18"/>
  <c r="L58" i="19" s="1"/>
  <c r="I58" i="19"/>
  <c r="J57" i="18"/>
  <c r="J58" i="19" s="1"/>
  <c r="H4" i="19"/>
  <c r="E3" i="30" s="1"/>
  <c r="D17" i="29"/>
  <c r="I17" i="29" s="1"/>
  <c r="J26" i="18"/>
  <c r="K26" i="18"/>
  <c r="L26" i="18"/>
  <c r="F26" i="18"/>
  <c r="G26" i="18"/>
  <c r="H26" i="18"/>
  <c r="C27" i="18"/>
  <c r="D27" i="18"/>
  <c r="I27" i="18" s="1"/>
  <c r="B28" i="18"/>
  <c r="D8" i="29"/>
  <c r="I8" i="29" s="1"/>
  <c r="G50" i="19"/>
  <c r="D6" i="29" s="1"/>
  <c r="I6" i="29" s="1"/>
  <c r="G53" i="19"/>
  <c r="C9" i="29" s="1"/>
  <c r="H9" i="29" s="1"/>
  <c r="I51" i="19"/>
  <c r="E12" i="30"/>
  <c r="G17" i="29"/>
  <c r="L17" i="29" s="1"/>
  <c r="J8" i="29"/>
  <c r="L59" i="18"/>
  <c r="L103" i="18" s="1"/>
  <c r="I103" i="18"/>
  <c r="K59" i="18"/>
  <c r="K60" i="19" s="1"/>
  <c r="J59" i="18"/>
  <c r="J60" i="19" s="1"/>
  <c r="F16" i="31"/>
  <c r="J16" i="31"/>
  <c r="B16" i="30"/>
  <c r="H16" i="30" s="1"/>
  <c r="G17" i="19"/>
  <c r="B16" i="31"/>
  <c r="E54" i="18"/>
  <c r="C98" i="18"/>
  <c r="I59" i="19"/>
  <c r="L58" i="18"/>
  <c r="I102" i="18"/>
  <c r="J58" i="18"/>
  <c r="K58" i="18"/>
  <c r="L62" i="18"/>
  <c r="J62" i="18"/>
  <c r="I106" i="18"/>
  <c r="K62" i="18"/>
  <c r="I63" i="19"/>
  <c r="F18" i="19"/>
  <c r="G18" i="29"/>
  <c r="L18" i="29" s="1"/>
  <c r="D18" i="29"/>
  <c r="I18" i="29" s="1"/>
  <c r="C103" i="18"/>
  <c r="E59" i="18"/>
  <c r="C107" i="18"/>
  <c r="E63" i="18"/>
  <c r="L55" i="19"/>
  <c r="L98" i="18"/>
  <c r="G8" i="19"/>
  <c r="F7" i="31"/>
  <c r="J7" i="31"/>
  <c r="B7" i="31"/>
  <c r="B7" i="30"/>
  <c r="H7" i="30" s="1"/>
  <c r="J49" i="18"/>
  <c r="L49" i="18"/>
  <c r="K49" i="18"/>
  <c r="I50" i="19"/>
  <c r="I93" i="18"/>
  <c r="E51" i="18"/>
  <c r="C95" i="18"/>
  <c r="J61" i="18"/>
  <c r="I62" i="19"/>
  <c r="K61" i="18"/>
  <c r="I105" i="18"/>
  <c r="L61" i="18"/>
  <c r="E48" i="18"/>
  <c r="C92" i="18"/>
  <c r="C96" i="18"/>
  <c r="E52" i="18"/>
  <c r="F13" i="19"/>
  <c r="G13" i="29"/>
  <c r="L13" i="29" s="1"/>
  <c r="F13" i="29"/>
  <c r="K13" i="29" s="1"/>
  <c r="F6" i="19"/>
  <c r="B5" i="30" s="1"/>
  <c r="F6" i="29"/>
  <c r="K6" i="29" s="1"/>
  <c r="G6" i="29"/>
  <c r="L6" i="29" s="1"/>
  <c r="B13" i="30"/>
  <c r="H13" i="30" s="1"/>
  <c r="J13" i="31"/>
  <c r="G14" i="19"/>
  <c r="B13" i="31"/>
  <c r="F13" i="31"/>
  <c r="L48" i="18"/>
  <c r="K48" i="18"/>
  <c r="I92" i="18"/>
  <c r="J48" i="18"/>
  <c r="I49" i="19"/>
  <c r="C100" i="18"/>
  <c r="E56" i="18"/>
  <c r="C93" i="18"/>
  <c r="E49" i="18"/>
  <c r="J56" i="18"/>
  <c r="L56" i="18"/>
  <c r="K56" i="18"/>
  <c r="I57" i="19"/>
  <c r="I100" i="18"/>
  <c r="C101" i="18"/>
  <c r="E57" i="18"/>
  <c r="E60" i="18"/>
  <c r="C104" i="18"/>
  <c r="E58" i="18"/>
  <c r="C102" i="18"/>
  <c r="I104" i="18"/>
  <c r="L60" i="18"/>
  <c r="J60" i="18"/>
  <c r="I61" i="19"/>
  <c r="K60" i="18"/>
  <c r="C97" i="18"/>
  <c r="E53" i="18"/>
  <c r="E55" i="18"/>
  <c r="C99" i="18"/>
  <c r="F5" i="19"/>
  <c r="G10" i="29"/>
  <c r="L10" i="29" s="1"/>
  <c r="F10" i="19"/>
  <c r="F10" i="29"/>
  <c r="K10" i="29" s="1"/>
  <c r="D10" i="29"/>
  <c r="I10" i="29" s="1"/>
  <c r="J10" i="29"/>
  <c r="D7" i="29"/>
  <c r="I7" i="29" s="1"/>
  <c r="G7" i="29"/>
  <c r="L7" i="29" s="1"/>
  <c r="C7" i="29"/>
  <c r="H7" i="29" s="1"/>
  <c r="F7" i="29"/>
  <c r="K7" i="29" s="1"/>
  <c r="F7" i="19"/>
  <c r="J7" i="29"/>
  <c r="G15" i="29"/>
  <c r="L15" i="29" s="1"/>
  <c r="F15" i="19"/>
  <c r="F15" i="29"/>
  <c r="K15" i="29" s="1"/>
  <c r="N11" i="31"/>
  <c r="G56" i="19"/>
  <c r="B12" i="29" s="1"/>
  <c r="B11" i="31"/>
  <c r="E61" i="18"/>
  <c r="C105" i="18"/>
  <c r="E62" i="18"/>
  <c r="C106" i="18"/>
  <c r="G21" i="29"/>
  <c r="L21" i="29" s="1"/>
  <c r="F21" i="19"/>
  <c r="D21" i="29"/>
  <c r="I21" i="29" s="1"/>
  <c r="G9" i="29"/>
  <c r="L9" i="29" s="1"/>
  <c r="F9" i="29"/>
  <c r="K9" i="29" s="1"/>
  <c r="F9" i="19"/>
  <c r="L63" i="18"/>
  <c r="K63" i="18"/>
  <c r="I64" i="19"/>
  <c r="I107" i="18"/>
  <c r="J63" i="18"/>
  <c r="K55" i="19"/>
  <c r="K98" i="18"/>
  <c r="G57" i="19"/>
  <c r="N12" i="31"/>
  <c r="F11" i="31"/>
  <c r="E47" i="18"/>
  <c r="C91" i="18"/>
  <c r="C94" i="18"/>
  <c r="E50" i="18"/>
  <c r="J55" i="19"/>
  <c r="O55" i="19"/>
  <c r="R55" i="19" s="1"/>
  <c r="J98" i="18"/>
  <c r="F11" i="29"/>
  <c r="K11" i="29" s="1"/>
  <c r="F11" i="19"/>
  <c r="G11" i="29"/>
  <c r="L11" i="29" s="1"/>
  <c r="B67" i="18"/>
  <c r="L48" i="19"/>
  <c r="L91" i="18"/>
  <c r="AN18" i="22"/>
  <c r="J14" i="29"/>
  <c r="G55" i="19"/>
  <c r="N10" i="31"/>
  <c r="J15" i="31"/>
  <c r="F15" i="31"/>
  <c r="B15" i="31"/>
  <c r="G16" i="19"/>
  <c r="B15" i="30"/>
  <c r="H15" i="30" s="1"/>
  <c r="L99" i="18"/>
  <c r="L56" i="19"/>
  <c r="K54" i="19"/>
  <c r="K97" i="18"/>
  <c r="K101" i="18"/>
  <c r="K58" i="19"/>
  <c r="B23" i="19"/>
  <c r="E23" i="19"/>
  <c r="D23" i="19"/>
  <c r="K48" i="19"/>
  <c r="K91" i="18"/>
  <c r="I65" i="18"/>
  <c r="D109" i="18"/>
  <c r="K53" i="19"/>
  <c r="K96" i="18"/>
  <c r="F19" i="31"/>
  <c r="J19" i="31"/>
  <c r="B19" i="31"/>
  <c r="G20" i="19"/>
  <c r="B19" i="30"/>
  <c r="H19" i="30" s="1"/>
  <c r="J52" i="19"/>
  <c r="O52" i="19"/>
  <c r="R52" i="19" s="1"/>
  <c r="J95" i="18"/>
  <c r="D67" i="19"/>
  <c r="E67" i="19"/>
  <c r="B67" i="19"/>
  <c r="P19" i="24"/>
  <c r="C41" i="33" s="1"/>
  <c r="H41" i="33" s="1"/>
  <c r="D20" i="34"/>
  <c r="J48" i="19"/>
  <c r="J91" i="18"/>
  <c r="O48" i="19"/>
  <c r="AO22" i="22"/>
  <c r="F18" i="29"/>
  <c r="K18" i="29" s="1"/>
  <c r="D9" i="29"/>
  <c r="I9" i="29" s="1"/>
  <c r="J53" i="19"/>
  <c r="O53" i="19"/>
  <c r="R53" i="19" s="1"/>
  <c r="J96" i="18"/>
  <c r="L53" i="19"/>
  <c r="L96" i="18"/>
  <c r="K94" i="18"/>
  <c r="K51" i="19"/>
  <c r="L52" i="19"/>
  <c r="L95" i="18"/>
  <c r="L97" i="18"/>
  <c r="L54" i="19"/>
  <c r="B22" i="19"/>
  <c r="I21" i="19"/>
  <c r="E108" i="18"/>
  <c r="H64" i="18"/>
  <c r="G64" i="18"/>
  <c r="G108" i="18" s="1"/>
  <c r="F64" i="18"/>
  <c r="C6" i="29"/>
  <c r="H6" i="29" s="1"/>
  <c r="L101" i="18"/>
  <c r="D66" i="18"/>
  <c r="C66" i="18"/>
  <c r="B110" i="18"/>
  <c r="D5" i="33"/>
  <c r="E5" i="33" s="1"/>
  <c r="I65" i="19"/>
  <c r="K64" i="18"/>
  <c r="J64" i="18"/>
  <c r="L64" i="18"/>
  <c r="I108" i="18"/>
  <c r="BM14" i="22"/>
  <c r="C10" i="29"/>
  <c r="H10" i="29" s="1"/>
  <c r="B66" i="19"/>
  <c r="B18" i="30"/>
  <c r="H18" i="30" s="1"/>
  <c r="F18" i="31"/>
  <c r="J18" i="31"/>
  <c r="B18" i="31"/>
  <c r="G19" i="19"/>
  <c r="C109" i="18"/>
  <c r="E65" i="18"/>
  <c r="K95" i="18"/>
  <c r="K52" i="19"/>
  <c r="K99" i="18"/>
  <c r="K56" i="19"/>
  <c r="J56" i="19"/>
  <c r="J99" i="18"/>
  <c r="O56" i="19"/>
  <c r="R56" i="19" s="1"/>
  <c r="J97" i="18"/>
  <c r="J54" i="19"/>
  <c r="O54" i="19"/>
  <c r="R54" i="19" s="1"/>
  <c r="G42" i="33" l="1"/>
  <c r="C20" i="34" s="1"/>
  <c r="D41" i="33"/>
  <c r="E41" i="33" s="1"/>
  <c r="H85" i="29"/>
  <c r="C128" i="29"/>
  <c r="H128" i="29" s="1"/>
  <c r="J85" i="29"/>
  <c r="E128" i="29"/>
  <c r="J128" i="29" s="1"/>
  <c r="D41" i="30"/>
  <c r="I41" i="30"/>
  <c r="I85" i="29"/>
  <c r="D128" i="29"/>
  <c r="I128" i="29" s="1"/>
  <c r="J6" i="29"/>
  <c r="J94" i="18"/>
  <c r="L51" i="19"/>
  <c r="M51" i="19" s="1"/>
  <c r="F4" i="19"/>
  <c r="B3" i="30" s="1"/>
  <c r="H3" i="30" s="1"/>
  <c r="L60" i="19"/>
  <c r="M60" i="19" s="1"/>
  <c r="O58" i="19"/>
  <c r="R58" i="19" s="1"/>
  <c r="O51" i="19"/>
  <c r="R51" i="19" s="1"/>
  <c r="B8" i="30"/>
  <c r="H8" i="30" s="1"/>
  <c r="E27" i="18"/>
  <c r="F27" i="18" s="1"/>
  <c r="J101" i="18"/>
  <c r="K103" i="18"/>
  <c r="C28" i="18"/>
  <c r="E28" i="18" s="1"/>
  <c r="D28" i="18"/>
  <c r="I28" i="18" s="1"/>
  <c r="B29" i="18"/>
  <c r="J27" i="18"/>
  <c r="K27" i="18"/>
  <c r="L27" i="18"/>
  <c r="J9" i="29"/>
  <c r="B11" i="27"/>
  <c r="O60" i="19"/>
  <c r="R60" i="19" s="1"/>
  <c r="J103" i="18"/>
  <c r="M53" i="19"/>
  <c r="N53" i="19" s="1"/>
  <c r="E102" i="18"/>
  <c r="I15" i="19"/>
  <c r="G58" i="18"/>
  <c r="G102" i="18" s="1"/>
  <c r="F58" i="18"/>
  <c r="H58" i="18"/>
  <c r="J106" i="18"/>
  <c r="O63" i="19"/>
  <c r="R63" i="19" s="1"/>
  <c r="J63" i="19"/>
  <c r="J100" i="18"/>
  <c r="J57" i="19"/>
  <c r="O57" i="19"/>
  <c r="R57" i="19" s="1"/>
  <c r="G11" i="19"/>
  <c r="B10" i="31"/>
  <c r="J10" i="31"/>
  <c r="F10" i="31"/>
  <c r="G47" i="18"/>
  <c r="H47" i="18"/>
  <c r="F47" i="18"/>
  <c r="E91" i="18"/>
  <c r="I4" i="19"/>
  <c r="F20" i="31"/>
  <c r="G21" i="19"/>
  <c r="B20" i="30"/>
  <c r="H20" i="30" s="1"/>
  <c r="J20" i="31"/>
  <c r="B20" i="31"/>
  <c r="F52" i="18"/>
  <c r="E96" i="18"/>
  <c r="G52" i="18"/>
  <c r="G96" i="18" s="1"/>
  <c r="I9" i="19"/>
  <c r="H52" i="18"/>
  <c r="J62" i="19"/>
  <c r="J105" i="18"/>
  <c r="O62" i="19"/>
  <c r="R62" i="19" s="1"/>
  <c r="K63" i="19"/>
  <c r="K106" i="18"/>
  <c r="L107" i="18"/>
  <c r="L64" i="19"/>
  <c r="M56" i="19"/>
  <c r="P56" i="19" s="1"/>
  <c r="J6" i="31"/>
  <c r="B6" i="31"/>
  <c r="G7" i="19"/>
  <c r="B6" i="30"/>
  <c r="H6" i="30" s="1"/>
  <c r="F6" i="31"/>
  <c r="B9" i="31"/>
  <c r="B9" i="30"/>
  <c r="H9" i="30" s="1"/>
  <c r="J9" i="31"/>
  <c r="F9" i="31"/>
  <c r="G10" i="19"/>
  <c r="G55" i="18"/>
  <c r="G99" i="18" s="1"/>
  <c r="H55" i="18"/>
  <c r="F55" i="18"/>
  <c r="E99" i="18"/>
  <c r="I12" i="19"/>
  <c r="K100" i="18"/>
  <c r="K57" i="19"/>
  <c r="J49" i="19"/>
  <c r="O49" i="19"/>
  <c r="R49" i="19" s="1"/>
  <c r="J92" i="18"/>
  <c r="F59" i="18"/>
  <c r="G59" i="18"/>
  <c r="G103" i="18" s="1"/>
  <c r="I16" i="19"/>
  <c r="H59" i="18"/>
  <c r="E103" i="18"/>
  <c r="K107" i="18"/>
  <c r="K64" i="19"/>
  <c r="H53" i="18"/>
  <c r="F53" i="18"/>
  <c r="I10" i="19"/>
  <c r="E97" i="18"/>
  <c r="G53" i="18"/>
  <c r="G97" i="18" s="1"/>
  <c r="E95" i="18"/>
  <c r="G51" i="18"/>
  <c r="G95" i="18" s="1"/>
  <c r="H51" i="18"/>
  <c r="F51" i="18"/>
  <c r="I8" i="19"/>
  <c r="K92" i="18"/>
  <c r="K49" i="19"/>
  <c r="H48" i="18"/>
  <c r="F48" i="18"/>
  <c r="G48" i="18"/>
  <c r="G92" i="18" s="1"/>
  <c r="I5" i="19"/>
  <c r="E92" i="18"/>
  <c r="M55" i="19"/>
  <c r="D13" i="29"/>
  <c r="I13" i="29" s="1"/>
  <c r="J13" i="29"/>
  <c r="J8" i="31"/>
  <c r="G9" i="19"/>
  <c r="F8" i="31"/>
  <c r="B8" i="31"/>
  <c r="F3" i="31"/>
  <c r="K61" i="19"/>
  <c r="K104" i="18"/>
  <c r="G60" i="18"/>
  <c r="G104" i="18" s="1"/>
  <c r="F60" i="18"/>
  <c r="I17" i="19"/>
  <c r="H60" i="18"/>
  <c r="E104" i="18"/>
  <c r="E93" i="18"/>
  <c r="I6" i="19"/>
  <c r="G49" i="18"/>
  <c r="G93" i="18" s="1"/>
  <c r="F49" i="18"/>
  <c r="H49" i="18"/>
  <c r="L92" i="18"/>
  <c r="L49" i="19"/>
  <c r="J5" i="31"/>
  <c r="G6" i="19"/>
  <c r="F5" i="31"/>
  <c r="B5" i="31"/>
  <c r="L105" i="18"/>
  <c r="L62" i="19"/>
  <c r="B8" i="29"/>
  <c r="B7" i="27"/>
  <c r="K102" i="18"/>
  <c r="K59" i="19"/>
  <c r="B16" i="27"/>
  <c r="B17" i="29"/>
  <c r="G15" i="19"/>
  <c r="J14" i="31"/>
  <c r="B14" i="31"/>
  <c r="F14" i="31"/>
  <c r="B14" i="30"/>
  <c r="H14" i="30" s="1"/>
  <c r="L100" i="18"/>
  <c r="L57" i="19"/>
  <c r="L63" i="19"/>
  <c r="L106" i="18"/>
  <c r="G50" i="18"/>
  <c r="G94" i="18" s="1"/>
  <c r="F50" i="18"/>
  <c r="E94" i="18"/>
  <c r="H50" i="18"/>
  <c r="I7" i="19"/>
  <c r="G61" i="18"/>
  <c r="G105" i="18" s="1"/>
  <c r="F61" i="18"/>
  <c r="H61" i="18"/>
  <c r="E105" i="18"/>
  <c r="I18" i="19"/>
  <c r="E101" i="18"/>
  <c r="F57" i="18"/>
  <c r="G57" i="18"/>
  <c r="G101" i="18" s="1"/>
  <c r="I14" i="19"/>
  <c r="H57" i="18"/>
  <c r="K93" i="18"/>
  <c r="K50" i="19"/>
  <c r="J17" i="31"/>
  <c r="G18" i="19"/>
  <c r="F17" i="31"/>
  <c r="B17" i="31"/>
  <c r="B17" i="30"/>
  <c r="H17" i="30" s="1"/>
  <c r="J102" i="18"/>
  <c r="J59" i="19"/>
  <c r="O59" i="19"/>
  <c r="R59" i="19" s="1"/>
  <c r="I19" i="19"/>
  <c r="F62" i="18"/>
  <c r="H62" i="18"/>
  <c r="E106" i="18"/>
  <c r="G62" i="18"/>
  <c r="G106" i="18" s="1"/>
  <c r="B4" i="30"/>
  <c r="J4" i="31"/>
  <c r="F4" i="31"/>
  <c r="G5" i="19"/>
  <c r="B4" i="31"/>
  <c r="O61" i="19"/>
  <c r="R61" i="19" s="1"/>
  <c r="J61" i="19"/>
  <c r="J104" i="18"/>
  <c r="G56" i="18"/>
  <c r="G100" i="18" s="1"/>
  <c r="F56" i="18"/>
  <c r="E100" i="18"/>
  <c r="H56" i="18"/>
  <c r="I13" i="19"/>
  <c r="K105" i="18"/>
  <c r="K62" i="19"/>
  <c r="L50" i="19"/>
  <c r="L93" i="18"/>
  <c r="F54" i="18"/>
  <c r="E98" i="18"/>
  <c r="G54" i="18"/>
  <c r="G98" i="18" s="1"/>
  <c r="I11" i="19"/>
  <c r="H54" i="18"/>
  <c r="J107" i="18"/>
  <c r="O64" i="19"/>
  <c r="R64" i="19" s="1"/>
  <c r="J64" i="19"/>
  <c r="D12" i="29"/>
  <c r="I12" i="29" s="1"/>
  <c r="J12" i="29"/>
  <c r="B11" i="30"/>
  <c r="H11" i="30" s="1"/>
  <c r="L61" i="19"/>
  <c r="L104" i="18"/>
  <c r="B14" i="29"/>
  <c r="B13" i="27"/>
  <c r="B12" i="30"/>
  <c r="H12" i="30" s="1"/>
  <c r="B12" i="31"/>
  <c r="F12" i="31"/>
  <c r="J12" i="31"/>
  <c r="G13" i="19"/>
  <c r="J50" i="19"/>
  <c r="O50" i="19"/>
  <c r="R50" i="19" s="1"/>
  <c r="J93" i="18"/>
  <c r="H63" i="18"/>
  <c r="I20" i="19"/>
  <c r="G63" i="18"/>
  <c r="G107" i="18" s="1"/>
  <c r="F63" i="18"/>
  <c r="E107" i="18"/>
  <c r="L102" i="18"/>
  <c r="L59" i="19"/>
  <c r="E66" i="19"/>
  <c r="H5" i="30"/>
  <c r="C67" i="19"/>
  <c r="F67" i="19" s="1"/>
  <c r="H67" i="19"/>
  <c r="B20" i="29"/>
  <c r="B19" i="27"/>
  <c r="I66" i="19"/>
  <c r="L65" i="18"/>
  <c r="K65" i="18"/>
  <c r="J65" i="18"/>
  <c r="I109" i="18"/>
  <c r="H23" i="19"/>
  <c r="E22" i="30" s="1"/>
  <c r="C23" i="19"/>
  <c r="D11" i="29"/>
  <c r="B10" i="30"/>
  <c r="H10" i="30" s="1"/>
  <c r="B111" i="18"/>
  <c r="D67" i="18"/>
  <c r="C67" i="18"/>
  <c r="B18" i="27"/>
  <c r="B19" i="29"/>
  <c r="J108" i="18"/>
  <c r="O65" i="19"/>
  <c r="R65" i="19" s="1"/>
  <c r="J65" i="19"/>
  <c r="J21" i="19"/>
  <c r="O21" i="19"/>
  <c r="F108" i="18"/>
  <c r="K21" i="19"/>
  <c r="E22" i="19"/>
  <c r="R48" i="19"/>
  <c r="C18" i="33"/>
  <c r="H18" i="33" s="1"/>
  <c r="C26" i="33"/>
  <c r="H26" i="33" s="1"/>
  <c r="C38" i="33"/>
  <c r="H38" i="33" s="1"/>
  <c r="C15" i="33"/>
  <c r="H15" i="33" s="1"/>
  <c r="D21" i="34"/>
  <c r="D22" i="34" s="1"/>
  <c r="C13" i="33"/>
  <c r="H13" i="33" s="1"/>
  <c r="C24" i="33"/>
  <c r="H24" i="33" s="1"/>
  <c r="C21" i="33"/>
  <c r="H21" i="33" s="1"/>
  <c r="C37" i="33"/>
  <c r="H37" i="33" s="1"/>
  <c r="C23" i="33"/>
  <c r="H23" i="33" s="1"/>
  <c r="C17" i="33"/>
  <c r="H17" i="33" s="1"/>
  <c r="C16" i="33"/>
  <c r="H16" i="33" s="1"/>
  <c r="C31" i="33"/>
  <c r="H31" i="33" s="1"/>
  <c r="C32" i="33"/>
  <c r="H32" i="33" s="1"/>
  <c r="C28" i="33"/>
  <c r="H28" i="33" s="1"/>
  <c r="C22" i="33"/>
  <c r="H22" i="33" s="1"/>
  <c r="C34" i="33"/>
  <c r="H34" i="33" s="1"/>
  <c r="C12" i="33"/>
  <c r="H12" i="33" s="1"/>
  <c r="C36" i="33"/>
  <c r="H36" i="33" s="1"/>
  <c r="C35" i="33"/>
  <c r="H35" i="33" s="1"/>
  <c r="C25" i="33"/>
  <c r="H25" i="33" s="1"/>
  <c r="C20" i="33"/>
  <c r="H20" i="33" s="1"/>
  <c r="C30" i="33"/>
  <c r="H30" i="33" s="1"/>
  <c r="C40" i="33"/>
  <c r="H40" i="33" s="1"/>
  <c r="C29" i="33"/>
  <c r="H29" i="33" s="1"/>
  <c r="C39" i="33"/>
  <c r="H39" i="33" s="1"/>
  <c r="C19" i="33"/>
  <c r="H19" i="33" s="1"/>
  <c r="C33" i="33"/>
  <c r="H33" i="33" s="1"/>
  <c r="C14" i="33"/>
  <c r="H14" i="33" s="1"/>
  <c r="C27" i="33"/>
  <c r="H27" i="33" s="1"/>
  <c r="AN19" i="22"/>
  <c r="B68" i="18"/>
  <c r="M58" i="19"/>
  <c r="D22" i="19"/>
  <c r="G65" i="18"/>
  <c r="G109" i="18" s="1"/>
  <c r="F65" i="18"/>
  <c r="H65" i="18"/>
  <c r="I22" i="19"/>
  <c r="E109" i="18"/>
  <c r="C66" i="19"/>
  <c r="H66" i="19"/>
  <c r="BM15" i="22"/>
  <c r="C11" i="29"/>
  <c r="K65" i="19"/>
  <c r="K108" i="18"/>
  <c r="E66" i="18"/>
  <c r="C110" i="18"/>
  <c r="C22" i="19"/>
  <c r="H22" i="19"/>
  <c r="M52" i="19"/>
  <c r="B16" i="29"/>
  <c r="B15" i="27"/>
  <c r="L108" i="18"/>
  <c r="L65" i="19"/>
  <c r="M54" i="19"/>
  <c r="D66" i="19"/>
  <c r="I66" i="18"/>
  <c r="D110" i="18"/>
  <c r="H108" i="18"/>
  <c r="L21" i="19"/>
  <c r="AO23" i="22"/>
  <c r="F19" i="29"/>
  <c r="M48" i="19"/>
  <c r="B68" i="19"/>
  <c r="D68" i="19"/>
  <c r="E68" i="19"/>
  <c r="C42" i="33" l="1"/>
  <c r="J41" i="30"/>
  <c r="C41" i="32"/>
  <c r="H4" i="30"/>
  <c r="G27" i="18"/>
  <c r="J3" i="31"/>
  <c r="G4" i="19"/>
  <c r="G91" i="18"/>
  <c r="B3" i="31"/>
  <c r="H27" i="18"/>
  <c r="O11" i="31"/>
  <c r="P11" i="31" s="1"/>
  <c r="D29" i="18"/>
  <c r="I29" i="18" s="1"/>
  <c r="B30" i="18"/>
  <c r="C29" i="18"/>
  <c r="E29" i="18" s="1"/>
  <c r="K28" i="18"/>
  <c r="L28" i="18"/>
  <c r="J28" i="18"/>
  <c r="G28" i="18"/>
  <c r="H28" i="18"/>
  <c r="F28" i="18"/>
  <c r="P53" i="19"/>
  <c r="O8" i="31"/>
  <c r="P8" i="31" s="1"/>
  <c r="N56" i="19"/>
  <c r="Q56" i="19" s="1"/>
  <c r="M50" i="19"/>
  <c r="O5" i="31" s="1"/>
  <c r="P5" i="31" s="1"/>
  <c r="M59" i="19"/>
  <c r="O14" i="31" s="1"/>
  <c r="P14" i="31" s="1"/>
  <c r="M49" i="19"/>
  <c r="P49" i="19" s="1"/>
  <c r="M63" i="19"/>
  <c r="N63" i="19" s="1"/>
  <c r="Q63" i="19" s="1"/>
  <c r="M64" i="19"/>
  <c r="O19" i="31" s="1"/>
  <c r="P19" i="31" s="1"/>
  <c r="M61" i="19"/>
  <c r="O13" i="19"/>
  <c r="F100" i="18"/>
  <c r="J13" i="19"/>
  <c r="K13" i="19"/>
  <c r="L14" i="19"/>
  <c r="H101" i="18"/>
  <c r="B9" i="29"/>
  <c r="B8" i="27"/>
  <c r="O5" i="19"/>
  <c r="F92" i="18"/>
  <c r="J5" i="19"/>
  <c r="K5" i="19"/>
  <c r="L5" i="19"/>
  <c r="H92" i="18"/>
  <c r="H103" i="18"/>
  <c r="L16" i="19"/>
  <c r="L9" i="19"/>
  <c r="H96" i="18"/>
  <c r="B21" i="29"/>
  <c r="B20" i="27"/>
  <c r="B10" i="29"/>
  <c r="B9" i="27"/>
  <c r="M62" i="19"/>
  <c r="B6" i="29"/>
  <c r="B5" i="27"/>
  <c r="L15" i="19"/>
  <c r="H102" i="18"/>
  <c r="L20" i="19"/>
  <c r="H107" i="18"/>
  <c r="B15" i="29"/>
  <c r="B14" i="27"/>
  <c r="J6" i="19"/>
  <c r="F93" i="18"/>
  <c r="O6" i="19"/>
  <c r="K6" i="19"/>
  <c r="O18" i="19"/>
  <c r="K18" i="19"/>
  <c r="F105" i="18"/>
  <c r="J18" i="19"/>
  <c r="B13" i="29"/>
  <c r="B12" i="27"/>
  <c r="H98" i="18"/>
  <c r="L11" i="19"/>
  <c r="L19" i="19"/>
  <c r="H106" i="18"/>
  <c r="F101" i="18"/>
  <c r="J14" i="19"/>
  <c r="K14" i="19"/>
  <c r="O14" i="19"/>
  <c r="H94" i="18"/>
  <c r="L7" i="19"/>
  <c r="B10" i="27"/>
  <c r="B11" i="29"/>
  <c r="F102" i="18"/>
  <c r="J15" i="19"/>
  <c r="K15" i="19"/>
  <c r="O15" i="19"/>
  <c r="F107" i="18"/>
  <c r="J20" i="19"/>
  <c r="K20" i="19"/>
  <c r="O20" i="19"/>
  <c r="O19" i="19"/>
  <c r="K19" i="19"/>
  <c r="F106" i="18"/>
  <c r="J19" i="19"/>
  <c r="B17" i="27"/>
  <c r="B18" i="29"/>
  <c r="L17" i="19"/>
  <c r="H104" i="18"/>
  <c r="O10" i="31"/>
  <c r="P10" i="31" s="1"/>
  <c r="N55" i="19"/>
  <c r="Q55" i="19" s="1"/>
  <c r="P55" i="19"/>
  <c r="J10" i="19"/>
  <c r="F97" i="18"/>
  <c r="O10" i="19"/>
  <c r="K10" i="19"/>
  <c r="O16" i="19"/>
  <c r="J16" i="19"/>
  <c r="K16" i="19"/>
  <c r="F103" i="18"/>
  <c r="J12" i="19"/>
  <c r="K12" i="19"/>
  <c r="O12" i="19"/>
  <c r="F99" i="18"/>
  <c r="L18" i="19"/>
  <c r="H105" i="18"/>
  <c r="H100" i="18"/>
  <c r="L13" i="19"/>
  <c r="B4" i="27"/>
  <c r="F94" i="18"/>
  <c r="O7" i="19"/>
  <c r="K7" i="19"/>
  <c r="J7" i="19"/>
  <c r="J8" i="19"/>
  <c r="F95" i="18"/>
  <c r="O8" i="19"/>
  <c r="K8" i="19"/>
  <c r="H97" i="18"/>
  <c r="L10" i="19"/>
  <c r="L12" i="19"/>
  <c r="H99" i="18"/>
  <c r="J9" i="19"/>
  <c r="F96" i="18"/>
  <c r="O9" i="19"/>
  <c r="K9" i="19"/>
  <c r="K4" i="19"/>
  <c r="J4" i="19"/>
  <c r="O4" i="19"/>
  <c r="F91" i="18"/>
  <c r="M57" i="19"/>
  <c r="K11" i="19"/>
  <c r="J11" i="19"/>
  <c r="F98" i="18"/>
  <c r="O11" i="19"/>
  <c r="L6" i="19"/>
  <c r="H93" i="18"/>
  <c r="K17" i="19"/>
  <c r="O17" i="19"/>
  <c r="J17" i="19"/>
  <c r="F104" i="18"/>
  <c r="H95" i="18"/>
  <c r="L8" i="19"/>
  <c r="B7" i="29"/>
  <c r="B6" i="27"/>
  <c r="H91" i="18"/>
  <c r="L4" i="19"/>
  <c r="K19" i="29"/>
  <c r="F22" i="19"/>
  <c r="G22" i="29"/>
  <c r="F109" i="18"/>
  <c r="J22" i="19"/>
  <c r="K22" i="19"/>
  <c r="O22" i="19"/>
  <c r="N58" i="19"/>
  <c r="O13" i="31"/>
  <c r="P13" i="31" s="1"/>
  <c r="P58" i="19"/>
  <c r="AN20" i="22"/>
  <c r="D33" i="33"/>
  <c r="E33" i="33" s="1"/>
  <c r="D40" i="33"/>
  <c r="E40" i="33" s="1"/>
  <c r="D35" i="33"/>
  <c r="E35" i="33" s="1"/>
  <c r="D22" i="33"/>
  <c r="E22" i="33" s="1"/>
  <c r="D16" i="33"/>
  <c r="E16" i="33" s="1"/>
  <c r="D21" i="33"/>
  <c r="E21" i="33" s="1"/>
  <c r="D18" i="33"/>
  <c r="E18" i="33" s="1"/>
  <c r="J11" i="29"/>
  <c r="K109" i="18"/>
  <c r="K66" i="19"/>
  <c r="N22" i="31"/>
  <c r="G67" i="19"/>
  <c r="D23" i="29" s="1"/>
  <c r="I23" i="29" s="1"/>
  <c r="H68" i="19"/>
  <c r="C68" i="19"/>
  <c r="F68" i="19" s="1"/>
  <c r="AO24" i="22"/>
  <c r="F20" i="29"/>
  <c r="K20" i="29" s="1"/>
  <c r="O9" i="31"/>
  <c r="P9" i="31" s="1"/>
  <c r="P54" i="19"/>
  <c r="N54" i="19"/>
  <c r="N52" i="19"/>
  <c r="P52" i="19"/>
  <c r="O7" i="31"/>
  <c r="P7" i="31" s="1"/>
  <c r="H11" i="29"/>
  <c r="F66" i="19"/>
  <c r="B69" i="18"/>
  <c r="D19" i="33"/>
  <c r="E19" i="33" s="1"/>
  <c r="D30" i="33"/>
  <c r="E30" i="33" s="1"/>
  <c r="D36" i="33"/>
  <c r="E36" i="33" s="1"/>
  <c r="D28" i="33"/>
  <c r="E28" i="33" s="1"/>
  <c r="D17" i="33"/>
  <c r="E17" i="33" s="1"/>
  <c r="D24" i="33"/>
  <c r="E24" i="33" s="1"/>
  <c r="D15" i="33"/>
  <c r="E15" i="33" s="1"/>
  <c r="R21" i="19"/>
  <c r="F20" i="30"/>
  <c r="G20" i="30" s="1"/>
  <c r="E67" i="18"/>
  <c r="C111" i="18"/>
  <c r="F23" i="19"/>
  <c r="G23" i="29"/>
  <c r="L23" i="29" s="1"/>
  <c r="L109" i="18"/>
  <c r="L66" i="19"/>
  <c r="I67" i="19"/>
  <c r="I110" i="18"/>
  <c r="L66" i="18"/>
  <c r="J66" i="18"/>
  <c r="K66" i="18"/>
  <c r="B24" i="19"/>
  <c r="F66" i="18"/>
  <c r="I23" i="19"/>
  <c r="H66" i="18"/>
  <c r="G66" i="18"/>
  <c r="E110" i="18"/>
  <c r="BM16" i="22"/>
  <c r="C12" i="29"/>
  <c r="O6" i="31"/>
  <c r="P6" i="31" s="1"/>
  <c r="N51" i="19"/>
  <c r="P51" i="19"/>
  <c r="B112" i="18"/>
  <c r="D68" i="18"/>
  <c r="C68" i="18"/>
  <c r="D27" i="33"/>
  <c r="E27" i="33" s="1"/>
  <c r="D39" i="33"/>
  <c r="E39" i="33" s="1"/>
  <c r="D20" i="33"/>
  <c r="E20" i="33" s="1"/>
  <c r="D12" i="33"/>
  <c r="E12" i="33" s="1"/>
  <c r="D32" i="33"/>
  <c r="E32" i="33" s="1"/>
  <c r="D23" i="33"/>
  <c r="E23" i="33" s="1"/>
  <c r="D11" i="33"/>
  <c r="E11" i="33" s="1"/>
  <c r="D38" i="33"/>
  <c r="E38" i="33" s="1"/>
  <c r="M21" i="19"/>
  <c r="M65" i="19"/>
  <c r="I67" i="18"/>
  <c r="D111" i="18"/>
  <c r="O15" i="31"/>
  <c r="P15" i="31" s="1"/>
  <c r="P60" i="19"/>
  <c r="N60" i="19"/>
  <c r="O3" i="31"/>
  <c r="N48" i="19"/>
  <c r="P48" i="19"/>
  <c r="Q53" i="19"/>
  <c r="E21" i="30"/>
  <c r="H109" i="18"/>
  <c r="L22" i="19"/>
  <c r="E25" i="19"/>
  <c r="B25" i="19"/>
  <c r="D25" i="19"/>
  <c r="J15" i="29"/>
  <c r="D14" i="33"/>
  <c r="E14" i="33" s="1"/>
  <c r="D29" i="33"/>
  <c r="E29" i="33" s="1"/>
  <c r="D25" i="33"/>
  <c r="E25" i="33" s="1"/>
  <c r="D34" i="33"/>
  <c r="E34" i="33" s="1"/>
  <c r="D31" i="33"/>
  <c r="E31" i="33" s="1"/>
  <c r="D37" i="33"/>
  <c r="E37" i="33" s="1"/>
  <c r="D13" i="33"/>
  <c r="E13" i="33" s="1"/>
  <c r="D26" i="33"/>
  <c r="E26" i="33" s="1"/>
  <c r="I11" i="29"/>
  <c r="J109" i="18"/>
  <c r="O66" i="19"/>
  <c r="J66" i="19"/>
  <c r="H42" i="33" l="1"/>
  <c r="C21" i="34" s="1"/>
  <c r="C22" i="34" s="1"/>
  <c r="D42" i="33"/>
  <c r="B3" i="27"/>
  <c r="H29" i="18"/>
  <c r="F29" i="18"/>
  <c r="G29" i="18"/>
  <c r="B31" i="18"/>
  <c r="C30" i="18"/>
  <c r="E30" i="18" s="1"/>
  <c r="D30" i="18"/>
  <c r="I30" i="18" s="1"/>
  <c r="L29" i="18"/>
  <c r="J29" i="18"/>
  <c r="K29" i="18"/>
  <c r="O18" i="31"/>
  <c r="P18" i="31" s="1"/>
  <c r="N50" i="19"/>
  <c r="Q50" i="19" s="1"/>
  <c r="P63" i="19"/>
  <c r="N59" i="19"/>
  <c r="Q59" i="19" s="1"/>
  <c r="O4" i="31"/>
  <c r="P4" i="31" s="1"/>
  <c r="N49" i="19"/>
  <c r="Q49" i="19" s="1"/>
  <c r="P59" i="19"/>
  <c r="P50" i="19"/>
  <c r="P64" i="19"/>
  <c r="N64" i="19"/>
  <c r="Q64" i="19" s="1"/>
  <c r="J52" i="29"/>
  <c r="P61" i="19"/>
  <c r="O16" i="31"/>
  <c r="P16" i="31" s="1"/>
  <c r="N61" i="19"/>
  <c r="Q61" i="19" s="1"/>
  <c r="F8" i="30"/>
  <c r="G8" i="30" s="1"/>
  <c r="R9" i="19"/>
  <c r="R12" i="19"/>
  <c r="F11" i="30"/>
  <c r="G11" i="30" s="1"/>
  <c r="M20" i="19"/>
  <c r="C95" i="29"/>
  <c r="H95" i="29" s="1"/>
  <c r="M17" i="19"/>
  <c r="M18" i="19"/>
  <c r="P62" i="19"/>
  <c r="O17" i="31"/>
  <c r="P17" i="31" s="1"/>
  <c r="N62" i="19"/>
  <c r="Q62" i="19" s="1"/>
  <c r="M14" i="19"/>
  <c r="C13" i="30" s="1"/>
  <c r="R8" i="19"/>
  <c r="F7" i="30"/>
  <c r="G7" i="30" s="1"/>
  <c r="D95" i="29"/>
  <c r="I95" i="29" s="1"/>
  <c r="F16" i="30"/>
  <c r="G16" i="30" s="1"/>
  <c r="R17" i="19"/>
  <c r="P57" i="19"/>
  <c r="N57" i="19"/>
  <c r="Q57" i="19" s="1"/>
  <c r="O12" i="31"/>
  <c r="P12" i="31" s="1"/>
  <c r="M9" i="19"/>
  <c r="M8" i="19"/>
  <c r="M12" i="19"/>
  <c r="H55" i="29"/>
  <c r="M10" i="19"/>
  <c r="M19" i="19"/>
  <c r="H62" i="29"/>
  <c r="J62" i="29"/>
  <c r="M15" i="19"/>
  <c r="R10" i="19"/>
  <c r="F9" i="30"/>
  <c r="G9" i="30" s="1"/>
  <c r="F3" i="30"/>
  <c r="G3" i="30" s="1"/>
  <c r="R4" i="19"/>
  <c r="R18" i="19"/>
  <c r="F17" i="30"/>
  <c r="G17" i="30" s="1"/>
  <c r="M5" i="19"/>
  <c r="M13" i="19"/>
  <c r="M4" i="19"/>
  <c r="M7" i="19"/>
  <c r="M16" i="19"/>
  <c r="F18" i="30"/>
  <c r="G18" i="30" s="1"/>
  <c r="R19" i="19"/>
  <c r="F14" i="30"/>
  <c r="G14" i="30" s="1"/>
  <c r="R15" i="19"/>
  <c r="R14" i="19"/>
  <c r="F13" i="30"/>
  <c r="G13" i="30" s="1"/>
  <c r="R7" i="19"/>
  <c r="F6" i="30"/>
  <c r="G6" i="30" s="1"/>
  <c r="M11" i="19"/>
  <c r="M6" i="19"/>
  <c r="F10" i="30"/>
  <c r="G10" i="30" s="1"/>
  <c r="R11" i="19"/>
  <c r="R16" i="19"/>
  <c r="F15" i="30"/>
  <c r="G15" i="30" s="1"/>
  <c r="R20" i="19"/>
  <c r="F19" i="30"/>
  <c r="G19" i="30" s="1"/>
  <c r="R6" i="19"/>
  <c r="F5" i="30"/>
  <c r="G5" i="30" s="1"/>
  <c r="R5" i="19"/>
  <c r="F4" i="30"/>
  <c r="F12" i="30"/>
  <c r="G12" i="30" s="1"/>
  <c r="R13" i="19"/>
  <c r="C112" i="18"/>
  <c r="E68" i="18"/>
  <c r="Q51" i="19"/>
  <c r="J23" i="19"/>
  <c r="O23" i="19"/>
  <c r="K23" i="19"/>
  <c r="F110" i="18"/>
  <c r="H24" i="19"/>
  <c r="C24" i="19"/>
  <c r="B22" i="31"/>
  <c r="J22" i="31"/>
  <c r="G23" i="19"/>
  <c r="B22" i="30"/>
  <c r="H22" i="30" s="1"/>
  <c r="F22" i="31"/>
  <c r="Q52" i="19"/>
  <c r="Q54" i="19"/>
  <c r="F21" i="29"/>
  <c r="K21" i="29" s="1"/>
  <c r="AO25" i="22"/>
  <c r="AN21" i="22"/>
  <c r="M22" i="19"/>
  <c r="Q48" i="19"/>
  <c r="Q60" i="19"/>
  <c r="N65" i="19"/>
  <c r="O20" i="31"/>
  <c r="P20" i="31" s="1"/>
  <c r="P65" i="19"/>
  <c r="P21" i="19"/>
  <c r="G20" i="31"/>
  <c r="H20" i="31" s="1"/>
  <c r="I20" i="31" s="1"/>
  <c r="N21" i="19"/>
  <c r="C20" i="31"/>
  <c r="D20" i="31" s="1"/>
  <c r="E20" i="31" s="1"/>
  <c r="K20" i="31"/>
  <c r="L20" i="31" s="1"/>
  <c r="M20" i="31" s="1"/>
  <c r="I68" i="18"/>
  <c r="D112" i="18"/>
  <c r="G110" i="18"/>
  <c r="D24" i="19"/>
  <c r="K110" i="18"/>
  <c r="K67" i="19"/>
  <c r="B70" i="18"/>
  <c r="Q58" i="19"/>
  <c r="J21" i="31"/>
  <c r="G22" i="19"/>
  <c r="B21" i="31"/>
  <c r="F21" i="31"/>
  <c r="M66" i="19"/>
  <c r="P3" i="31"/>
  <c r="L67" i="18"/>
  <c r="J67" i="18"/>
  <c r="I111" i="18"/>
  <c r="I68" i="19"/>
  <c r="K67" i="18"/>
  <c r="H12" i="29"/>
  <c r="L23" i="19"/>
  <c r="H110" i="18"/>
  <c r="J110" i="18"/>
  <c r="J67" i="19"/>
  <c r="O67" i="19"/>
  <c r="R67" i="19" s="1"/>
  <c r="D69" i="18"/>
  <c r="B113" i="18"/>
  <c r="C69" i="18"/>
  <c r="G68" i="19"/>
  <c r="N23" i="31"/>
  <c r="B69" i="19"/>
  <c r="R22" i="19"/>
  <c r="F21" i="30"/>
  <c r="G21" i="30" s="1"/>
  <c r="R66" i="19"/>
  <c r="H25" i="19"/>
  <c r="C25" i="19"/>
  <c r="L64" i="29"/>
  <c r="G107" i="29"/>
  <c r="L107" i="29" s="1"/>
  <c r="K64" i="29"/>
  <c r="BM17" i="22"/>
  <c r="C13" i="29"/>
  <c r="E24" i="19"/>
  <c r="L67" i="19"/>
  <c r="L110" i="18"/>
  <c r="G67" i="18"/>
  <c r="F67" i="18"/>
  <c r="I24" i="19"/>
  <c r="H67" i="18"/>
  <c r="E111" i="18"/>
  <c r="E70" i="19"/>
  <c r="D70" i="19"/>
  <c r="B70" i="19"/>
  <c r="N21" i="31"/>
  <c r="G66" i="19"/>
  <c r="B21" i="30" s="1"/>
  <c r="J16" i="29"/>
  <c r="L22" i="29"/>
  <c r="E42" i="33" l="1"/>
  <c r="I4" i="34" s="1"/>
  <c r="G4" i="30"/>
  <c r="F107" i="29"/>
  <c r="K107" i="29" s="1"/>
  <c r="G111" i="18"/>
  <c r="C31" i="18"/>
  <c r="E31" i="18" s="1"/>
  <c r="D31" i="18"/>
  <c r="I31" i="18" s="1"/>
  <c r="B32" i="18"/>
  <c r="J30" i="18"/>
  <c r="K30" i="18"/>
  <c r="L30" i="18"/>
  <c r="F30" i="18"/>
  <c r="G30" i="18"/>
  <c r="H30" i="18"/>
  <c r="E95" i="29"/>
  <c r="J95" i="29" s="1"/>
  <c r="D8" i="32" s="1"/>
  <c r="I49" i="29"/>
  <c r="D101" i="29"/>
  <c r="I101" i="29" s="1"/>
  <c r="H49" i="29"/>
  <c r="I63" i="29"/>
  <c r="E92" i="29"/>
  <c r="J92" i="29" s="1"/>
  <c r="H56" i="29"/>
  <c r="J58" i="29"/>
  <c r="H58" i="29"/>
  <c r="H63" i="29"/>
  <c r="E99" i="29"/>
  <c r="J99" i="29" s="1"/>
  <c r="D12" i="32" s="1"/>
  <c r="H52" i="29"/>
  <c r="D99" i="29"/>
  <c r="I99" i="29" s="1"/>
  <c r="J63" i="29"/>
  <c r="J61" i="29"/>
  <c r="H60" i="29"/>
  <c r="D103" i="29"/>
  <c r="I103" i="29" s="1"/>
  <c r="J60" i="29"/>
  <c r="I52" i="29"/>
  <c r="F97" i="29"/>
  <c r="K97" i="29" s="1"/>
  <c r="K54" i="29"/>
  <c r="G6" i="31"/>
  <c r="H6" i="31" s="1"/>
  <c r="I6" i="31" s="1"/>
  <c r="N7" i="19"/>
  <c r="K6" i="31"/>
  <c r="L6" i="31" s="1"/>
  <c r="M6" i="31" s="1"/>
  <c r="C6" i="31"/>
  <c r="D6" i="31" s="1"/>
  <c r="E6" i="31" s="1"/>
  <c r="P7" i="19"/>
  <c r="F101" i="29"/>
  <c r="K101" i="29" s="1"/>
  <c r="K58" i="29"/>
  <c r="D98" i="29"/>
  <c r="I98" i="29" s="1"/>
  <c r="I55" i="29"/>
  <c r="K8" i="31"/>
  <c r="L8" i="31" s="1"/>
  <c r="M8" i="31" s="1"/>
  <c r="P9" i="19"/>
  <c r="N9" i="19"/>
  <c r="C8" i="31"/>
  <c r="D8" i="31" s="1"/>
  <c r="E8" i="31" s="1"/>
  <c r="G8" i="31"/>
  <c r="H8" i="31" s="1"/>
  <c r="I8" i="31" s="1"/>
  <c r="C8" i="30"/>
  <c r="C16" i="31"/>
  <c r="D16" i="31" s="1"/>
  <c r="E16" i="31" s="1"/>
  <c r="N17" i="19"/>
  <c r="C16" i="30"/>
  <c r="K16" i="31"/>
  <c r="L16" i="31" s="1"/>
  <c r="M16" i="31" s="1"/>
  <c r="P17" i="19"/>
  <c r="G16" i="31"/>
  <c r="H16" i="31" s="1"/>
  <c r="I16" i="31" s="1"/>
  <c r="C6" i="30"/>
  <c r="D6" i="30" s="1"/>
  <c r="L49" i="29"/>
  <c r="G92" i="29"/>
  <c r="L92" i="29" s="1"/>
  <c r="L54" i="29"/>
  <c r="G97" i="29"/>
  <c r="L97" i="29" s="1"/>
  <c r="F93" i="29"/>
  <c r="K93" i="29" s="1"/>
  <c r="K50" i="29"/>
  <c r="E98" i="29"/>
  <c r="J98" i="29" s="1"/>
  <c r="D11" i="32" s="1"/>
  <c r="J55" i="29"/>
  <c r="L52" i="29"/>
  <c r="G95" i="29"/>
  <c r="L95" i="29" s="1"/>
  <c r="P18" i="19"/>
  <c r="C17" i="30"/>
  <c r="K17" i="31"/>
  <c r="L17" i="31" s="1"/>
  <c r="M17" i="31" s="1"/>
  <c r="C17" i="31"/>
  <c r="D17" i="31" s="1"/>
  <c r="E17" i="31" s="1"/>
  <c r="N18" i="19"/>
  <c r="G17" i="31"/>
  <c r="H17" i="31" s="1"/>
  <c r="I17" i="31" s="1"/>
  <c r="L50" i="29"/>
  <c r="G93" i="29"/>
  <c r="L93" i="29" s="1"/>
  <c r="K52" i="29"/>
  <c r="F95" i="29"/>
  <c r="K95" i="29" s="1"/>
  <c r="G19" i="31"/>
  <c r="H19" i="31" s="1"/>
  <c r="I19" i="31" s="1"/>
  <c r="N20" i="19"/>
  <c r="K19" i="31"/>
  <c r="L19" i="31" s="1"/>
  <c r="M19" i="31" s="1"/>
  <c r="C19" i="30"/>
  <c r="C19" i="31"/>
  <c r="D19" i="31" s="1"/>
  <c r="E19" i="31" s="1"/>
  <c r="P20" i="19"/>
  <c r="G5" i="31"/>
  <c r="H5" i="31" s="1"/>
  <c r="I5" i="31" s="1"/>
  <c r="N6" i="19"/>
  <c r="C5" i="30"/>
  <c r="K5" i="31"/>
  <c r="L5" i="31" s="1"/>
  <c r="M5" i="31" s="1"/>
  <c r="C5" i="31"/>
  <c r="D5" i="31" s="1"/>
  <c r="E5" i="31" s="1"/>
  <c r="P6" i="19"/>
  <c r="I54" i="29"/>
  <c r="D97" i="29"/>
  <c r="I97" i="29" s="1"/>
  <c r="G101" i="29"/>
  <c r="L101" i="29" s="1"/>
  <c r="L58" i="29"/>
  <c r="K62" i="29"/>
  <c r="F105" i="29"/>
  <c r="K105" i="29" s="1"/>
  <c r="F98" i="29"/>
  <c r="K98" i="29" s="1"/>
  <c r="K55" i="29"/>
  <c r="L57" i="29"/>
  <c r="G100" i="29"/>
  <c r="L100" i="29" s="1"/>
  <c r="G104" i="29"/>
  <c r="L104" i="29" s="1"/>
  <c r="L61" i="29"/>
  <c r="K60" i="29"/>
  <c r="F103" i="29"/>
  <c r="K103" i="29" s="1"/>
  <c r="F106" i="29"/>
  <c r="K106" i="29" s="1"/>
  <c r="K63" i="29"/>
  <c r="N11" i="19"/>
  <c r="G10" i="31"/>
  <c r="H10" i="31" s="1"/>
  <c r="I10" i="31" s="1"/>
  <c r="K10" i="31"/>
  <c r="L10" i="31" s="1"/>
  <c r="M10" i="31" s="1"/>
  <c r="P11" i="19"/>
  <c r="C10" i="31"/>
  <c r="D10" i="31" s="1"/>
  <c r="E10" i="31" s="1"/>
  <c r="C10" i="30"/>
  <c r="F99" i="29"/>
  <c r="K99" i="29" s="1"/>
  <c r="K56" i="29"/>
  <c r="C98" i="29"/>
  <c r="H98" i="29" s="1"/>
  <c r="H54" i="29"/>
  <c r="C97" i="29"/>
  <c r="H97" i="29" s="1"/>
  <c r="K9" i="31"/>
  <c r="L9" i="31" s="1"/>
  <c r="M9" i="31" s="1"/>
  <c r="C9" i="31"/>
  <c r="D9" i="31" s="1"/>
  <c r="E9" i="31" s="1"/>
  <c r="G9" i="31"/>
  <c r="H9" i="31" s="1"/>
  <c r="I9" i="31" s="1"/>
  <c r="P10" i="19"/>
  <c r="N10" i="19"/>
  <c r="C9" i="30"/>
  <c r="C11" i="30"/>
  <c r="P12" i="19"/>
  <c r="K11" i="31"/>
  <c r="L11" i="31" s="1"/>
  <c r="M11" i="31" s="1"/>
  <c r="C11" i="31"/>
  <c r="D11" i="31" s="1"/>
  <c r="E11" i="31" s="1"/>
  <c r="G11" i="31"/>
  <c r="H11" i="31" s="1"/>
  <c r="I11" i="31" s="1"/>
  <c r="N12" i="19"/>
  <c r="N14" i="19"/>
  <c r="K13" i="31"/>
  <c r="L13" i="31" s="1"/>
  <c r="M13" i="31" s="1"/>
  <c r="G13" i="31"/>
  <c r="H13" i="31" s="1"/>
  <c r="I13" i="31" s="1"/>
  <c r="C13" i="31"/>
  <c r="D13" i="31" s="1"/>
  <c r="E13" i="31" s="1"/>
  <c r="P14" i="19"/>
  <c r="K61" i="29"/>
  <c r="F104" i="29"/>
  <c r="K104" i="29" s="1"/>
  <c r="G103" i="29"/>
  <c r="L103" i="29" s="1"/>
  <c r="L60" i="29"/>
  <c r="F102" i="29"/>
  <c r="K102" i="29" s="1"/>
  <c r="K59" i="29"/>
  <c r="N4" i="19"/>
  <c r="K3" i="31"/>
  <c r="G3" i="31"/>
  <c r="C3" i="30"/>
  <c r="C3" i="31"/>
  <c r="P4" i="19"/>
  <c r="P15" i="19"/>
  <c r="C14" i="31"/>
  <c r="D14" i="31" s="1"/>
  <c r="E14" i="31" s="1"/>
  <c r="C14" i="30"/>
  <c r="K14" i="31"/>
  <c r="L14" i="31" s="1"/>
  <c r="M14" i="31" s="1"/>
  <c r="N15" i="19"/>
  <c r="G14" i="31"/>
  <c r="H14" i="31" s="1"/>
  <c r="I14" i="31" s="1"/>
  <c r="G96" i="29"/>
  <c r="L96" i="29" s="1"/>
  <c r="L53" i="29"/>
  <c r="K7" i="31"/>
  <c r="L7" i="31" s="1"/>
  <c r="M7" i="31" s="1"/>
  <c r="C7" i="31"/>
  <c r="D7" i="31" s="1"/>
  <c r="E7" i="31" s="1"/>
  <c r="P8" i="19"/>
  <c r="C7" i="30"/>
  <c r="G7" i="31"/>
  <c r="H7" i="31" s="1"/>
  <c r="I7" i="31" s="1"/>
  <c r="N8" i="19"/>
  <c r="K57" i="29"/>
  <c r="F100" i="29"/>
  <c r="K100" i="29" s="1"/>
  <c r="K18" i="31"/>
  <c r="L18" i="31" s="1"/>
  <c r="M18" i="31" s="1"/>
  <c r="P19" i="19"/>
  <c r="C18" i="31"/>
  <c r="D18" i="31" s="1"/>
  <c r="E18" i="31" s="1"/>
  <c r="G18" i="31"/>
  <c r="H18" i="31" s="1"/>
  <c r="I18" i="31" s="1"/>
  <c r="N19" i="19"/>
  <c r="C18" i="30"/>
  <c r="G102" i="29"/>
  <c r="L102" i="29" s="1"/>
  <c r="L59" i="29"/>
  <c r="P13" i="19"/>
  <c r="N13" i="19"/>
  <c r="K12" i="31"/>
  <c r="L12" i="31" s="1"/>
  <c r="M12" i="31" s="1"/>
  <c r="C12" i="30"/>
  <c r="C12" i="31"/>
  <c r="D12" i="31" s="1"/>
  <c r="E12" i="31" s="1"/>
  <c r="G12" i="31"/>
  <c r="H12" i="31" s="1"/>
  <c r="I12" i="31" s="1"/>
  <c r="D105" i="29"/>
  <c r="I105" i="29" s="1"/>
  <c r="I62" i="29"/>
  <c r="K53" i="29"/>
  <c r="F96" i="29"/>
  <c r="K96" i="29" s="1"/>
  <c r="F94" i="29"/>
  <c r="K94" i="29" s="1"/>
  <c r="K51" i="29"/>
  <c r="H61" i="29"/>
  <c r="L63" i="29"/>
  <c r="G106" i="29"/>
  <c r="L106" i="29" s="1"/>
  <c r="F92" i="29"/>
  <c r="K92" i="29" s="1"/>
  <c r="K49" i="29"/>
  <c r="J54" i="29"/>
  <c r="E97" i="29"/>
  <c r="J97" i="29" s="1"/>
  <c r="D10" i="32" s="1"/>
  <c r="C15" i="31"/>
  <c r="D15" i="31" s="1"/>
  <c r="E15" i="31" s="1"/>
  <c r="K15" i="31"/>
  <c r="L15" i="31" s="1"/>
  <c r="M15" i="31" s="1"/>
  <c r="C15" i="30"/>
  <c r="G15" i="31"/>
  <c r="H15" i="31" s="1"/>
  <c r="I15" i="31" s="1"/>
  <c r="N16" i="19"/>
  <c r="P16" i="19"/>
  <c r="L56" i="29"/>
  <c r="G99" i="29"/>
  <c r="L99" i="29" s="1"/>
  <c r="C4" i="31"/>
  <c r="D4" i="31" s="1"/>
  <c r="E4" i="31" s="1"/>
  <c r="G4" i="31"/>
  <c r="H4" i="31" s="1"/>
  <c r="I4" i="31" s="1"/>
  <c r="K4" i="31"/>
  <c r="L4" i="31" s="1"/>
  <c r="M4" i="31" s="1"/>
  <c r="C4" i="30"/>
  <c r="N5" i="19"/>
  <c r="P5" i="19"/>
  <c r="G105" i="29"/>
  <c r="L105" i="29" s="1"/>
  <c r="L62" i="29"/>
  <c r="G98" i="29"/>
  <c r="L98" i="29" s="1"/>
  <c r="L55" i="29"/>
  <c r="L51" i="29"/>
  <c r="G94" i="29"/>
  <c r="L94" i="29" s="1"/>
  <c r="H21" i="30"/>
  <c r="BM18" i="22"/>
  <c r="C14" i="29"/>
  <c r="H14" i="29" s="1"/>
  <c r="E69" i="19"/>
  <c r="C113" i="18"/>
  <c r="E69" i="18"/>
  <c r="K111" i="18"/>
  <c r="K68" i="19"/>
  <c r="L111" i="18"/>
  <c r="L68" i="19"/>
  <c r="B71" i="18"/>
  <c r="Q20" i="31"/>
  <c r="E20" i="32" s="1"/>
  <c r="C20" i="30"/>
  <c r="H59" i="29"/>
  <c r="L65" i="29"/>
  <c r="G108" i="29"/>
  <c r="L108" i="29" s="1"/>
  <c r="K65" i="29"/>
  <c r="I53" i="29"/>
  <c r="D96" i="29"/>
  <c r="I96" i="29" s="1"/>
  <c r="E23" i="30"/>
  <c r="J50" i="29"/>
  <c r="E93" i="29"/>
  <c r="J93" i="29" s="1"/>
  <c r="D6" i="32" s="1"/>
  <c r="D22" i="29"/>
  <c r="H111" i="18"/>
  <c r="L24" i="19"/>
  <c r="D13" i="30"/>
  <c r="I13" i="30"/>
  <c r="D69" i="19"/>
  <c r="I57" i="29"/>
  <c r="D100" i="29"/>
  <c r="I100" i="29" s="1"/>
  <c r="D71" i="19"/>
  <c r="B71" i="19"/>
  <c r="E71" i="19"/>
  <c r="C20" i="27"/>
  <c r="D20" i="27" s="1"/>
  <c r="E20" i="27" s="1"/>
  <c r="B20" i="32" s="1"/>
  <c r="B64" i="29"/>
  <c r="B107" i="29" s="1"/>
  <c r="Q21" i="19"/>
  <c r="J59" i="29"/>
  <c r="E102" i="29"/>
  <c r="J102" i="29" s="1"/>
  <c r="D15" i="32" s="1"/>
  <c r="N22" i="19"/>
  <c r="P22" i="19"/>
  <c r="K21" i="31"/>
  <c r="G21" i="31"/>
  <c r="C21" i="31"/>
  <c r="D21" i="31" s="1"/>
  <c r="E21" i="31" s="1"/>
  <c r="J53" i="29"/>
  <c r="E96" i="29"/>
  <c r="J96" i="29" s="1"/>
  <c r="D9" i="32" s="1"/>
  <c r="I51" i="29"/>
  <c r="D94" i="29"/>
  <c r="I94" i="29" s="1"/>
  <c r="B22" i="27"/>
  <c r="B23" i="29"/>
  <c r="R23" i="19"/>
  <c r="F22" i="30"/>
  <c r="G22" i="30" s="1"/>
  <c r="D93" i="29"/>
  <c r="I93" i="29" s="1"/>
  <c r="I50" i="29"/>
  <c r="I69" i="18"/>
  <c r="D113" i="18"/>
  <c r="M67" i="19"/>
  <c r="O21" i="31"/>
  <c r="N66" i="19"/>
  <c r="P66" i="19"/>
  <c r="E100" i="29"/>
  <c r="J100" i="29" s="1"/>
  <c r="D13" i="32" s="1"/>
  <c r="J57" i="29"/>
  <c r="D27" i="19"/>
  <c r="B27" i="19"/>
  <c r="E27" i="19"/>
  <c r="D102" i="29"/>
  <c r="I102" i="29" s="1"/>
  <c r="I59" i="29"/>
  <c r="J17" i="29"/>
  <c r="AO26" i="22"/>
  <c r="F22" i="29"/>
  <c r="K22" i="29" s="1"/>
  <c r="H53" i="29"/>
  <c r="C96" i="29"/>
  <c r="H96" i="29" s="1"/>
  <c r="J51" i="29"/>
  <c r="E94" i="29"/>
  <c r="J94" i="29" s="1"/>
  <c r="D7" i="32" s="1"/>
  <c r="B26" i="19"/>
  <c r="M23" i="19"/>
  <c r="H70" i="19"/>
  <c r="C70" i="19"/>
  <c r="F70" i="19" s="1"/>
  <c r="K24" i="19"/>
  <c r="O24" i="19"/>
  <c r="J24" i="19"/>
  <c r="F111" i="18"/>
  <c r="H13" i="29"/>
  <c r="F25" i="19"/>
  <c r="G25" i="29"/>
  <c r="L25" i="29" s="1"/>
  <c r="C69" i="19"/>
  <c r="H69" i="19"/>
  <c r="E24" i="30" s="1"/>
  <c r="J68" i="19"/>
  <c r="J111" i="18"/>
  <c r="O68" i="19"/>
  <c r="B21" i="27"/>
  <c r="B22" i="29"/>
  <c r="H57" i="29"/>
  <c r="B114" i="18"/>
  <c r="C70" i="18"/>
  <c r="D70" i="18"/>
  <c r="L68" i="18"/>
  <c r="I69" i="19"/>
  <c r="K68" i="18"/>
  <c r="I112" i="18"/>
  <c r="J68" i="18"/>
  <c r="Q65" i="19"/>
  <c r="AN22" i="22"/>
  <c r="H51" i="29"/>
  <c r="C94" i="29"/>
  <c r="H94" i="29" s="1"/>
  <c r="D24" i="29"/>
  <c r="I24" i="29" s="1"/>
  <c r="G24" i="29"/>
  <c r="F24" i="19"/>
  <c r="H50" i="29"/>
  <c r="C93" i="29"/>
  <c r="E112" i="18"/>
  <c r="H68" i="18"/>
  <c r="I25" i="19"/>
  <c r="G68" i="18"/>
  <c r="G112" i="18" s="1"/>
  <c r="F68" i="18"/>
  <c r="J56" i="29" l="1"/>
  <c r="H3" i="31"/>
  <c r="L3" i="31"/>
  <c r="D3" i="31"/>
  <c r="I58" i="29"/>
  <c r="D92" i="29"/>
  <c r="I92" i="29" s="1"/>
  <c r="D106" i="29"/>
  <c r="I106" i="29" s="1"/>
  <c r="C100" i="29"/>
  <c r="H100" i="29" s="1"/>
  <c r="C32" i="18"/>
  <c r="E32" i="18" s="1"/>
  <c r="D32" i="18"/>
  <c r="I32" i="18" s="1"/>
  <c r="B33" i="18"/>
  <c r="E101" i="29"/>
  <c r="J101" i="29" s="1"/>
  <c r="J31" i="18"/>
  <c r="K31" i="18"/>
  <c r="L31" i="18"/>
  <c r="F31" i="18"/>
  <c r="G31" i="18"/>
  <c r="H31" i="18"/>
  <c r="C99" i="29"/>
  <c r="H99" i="29" s="1"/>
  <c r="C92" i="29"/>
  <c r="H92" i="29" s="1"/>
  <c r="J49" i="29"/>
  <c r="I60" i="29"/>
  <c r="I6" i="30"/>
  <c r="I56" i="29"/>
  <c r="E103" i="29"/>
  <c r="J103" i="29" s="1"/>
  <c r="M68" i="19"/>
  <c r="O23" i="31" s="1"/>
  <c r="P23" i="31" s="1"/>
  <c r="Q11" i="31"/>
  <c r="E11" i="32" s="1"/>
  <c r="Q9" i="31"/>
  <c r="E9" i="32" s="1"/>
  <c r="Q19" i="31"/>
  <c r="E19" i="32" s="1"/>
  <c r="Q14" i="31"/>
  <c r="E14" i="32" s="1"/>
  <c r="Q15" i="31"/>
  <c r="E15" i="32" s="1"/>
  <c r="Q13" i="31"/>
  <c r="E13" i="32" s="1"/>
  <c r="Q10" i="31"/>
  <c r="E10" i="32" s="1"/>
  <c r="Q8" i="31"/>
  <c r="E8" i="32" s="1"/>
  <c r="Q11" i="19"/>
  <c r="C10" i="27"/>
  <c r="D10" i="27" s="1"/>
  <c r="E10" i="27" s="1"/>
  <c r="B10" i="32" s="1"/>
  <c r="B54" i="29"/>
  <c r="B97" i="29" s="1"/>
  <c r="Q17" i="19"/>
  <c r="C16" i="27"/>
  <c r="D16" i="27" s="1"/>
  <c r="E16" i="27" s="1"/>
  <c r="B16" i="32" s="1"/>
  <c r="B60" i="29"/>
  <c r="B103" i="29" s="1"/>
  <c r="Q7" i="31"/>
  <c r="E7" i="32" s="1"/>
  <c r="I11" i="30"/>
  <c r="D11" i="30"/>
  <c r="Q16" i="31"/>
  <c r="E16" i="32" s="1"/>
  <c r="Q6" i="31"/>
  <c r="E6" i="32" s="1"/>
  <c r="I15" i="30"/>
  <c r="D15" i="30"/>
  <c r="Q4" i="31"/>
  <c r="E4" i="32" s="1"/>
  <c r="Q12" i="31"/>
  <c r="E12" i="32" s="1"/>
  <c r="Q14" i="19"/>
  <c r="C13" i="27"/>
  <c r="D13" i="27" s="1"/>
  <c r="E13" i="27" s="1"/>
  <c r="B13" i="32" s="1"/>
  <c r="B57" i="29"/>
  <c r="B100" i="29" s="1"/>
  <c r="C9" i="27"/>
  <c r="D9" i="27" s="1"/>
  <c r="E9" i="27" s="1"/>
  <c r="B9" i="32" s="1"/>
  <c r="Q10" i="19"/>
  <c r="B53" i="29"/>
  <c r="B96" i="29" s="1"/>
  <c r="I10" i="30"/>
  <c r="D10" i="30"/>
  <c r="I19" i="30"/>
  <c r="D19" i="30"/>
  <c r="C6" i="27"/>
  <c r="D6" i="27" s="1"/>
  <c r="E6" i="27" s="1"/>
  <c r="B6" i="32" s="1"/>
  <c r="B50" i="29"/>
  <c r="B93" i="29" s="1"/>
  <c r="Q7" i="19"/>
  <c r="D14" i="30"/>
  <c r="I14" i="30"/>
  <c r="I9" i="30"/>
  <c r="D9" i="30"/>
  <c r="D8" i="30"/>
  <c r="I8" i="30"/>
  <c r="D12" i="30"/>
  <c r="I12" i="30"/>
  <c r="I18" i="30"/>
  <c r="D18" i="30"/>
  <c r="C11" i="27"/>
  <c r="D11" i="27" s="1"/>
  <c r="E11" i="27" s="1"/>
  <c r="B11" i="32" s="1"/>
  <c r="Q12" i="19"/>
  <c r="B55" i="29"/>
  <c r="B98" i="29" s="1"/>
  <c r="Q5" i="31"/>
  <c r="E5" i="32" s="1"/>
  <c r="B61" i="29"/>
  <c r="B104" i="29" s="1"/>
  <c r="C17" i="27"/>
  <c r="D17" i="27" s="1"/>
  <c r="E17" i="27" s="1"/>
  <c r="B17" i="32" s="1"/>
  <c r="Q18" i="19"/>
  <c r="C3" i="27"/>
  <c r="Q4" i="19"/>
  <c r="Q19" i="19"/>
  <c r="B62" i="29"/>
  <c r="B105" i="29" s="1"/>
  <c r="C18" i="27"/>
  <c r="D18" i="27" s="1"/>
  <c r="E18" i="27" s="1"/>
  <c r="B18" i="32" s="1"/>
  <c r="Q8" i="19"/>
  <c r="B51" i="29"/>
  <c r="B94" i="29" s="1"/>
  <c r="C7" i="27"/>
  <c r="D7" i="27" s="1"/>
  <c r="E7" i="27" s="1"/>
  <c r="B7" i="32" s="1"/>
  <c r="B63" i="29"/>
  <c r="B106" i="29" s="1"/>
  <c r="Q20" i="19"/>
  <c r="C19" i="27"/>
  <c r="D19" i="27" s="1"/>
  <c r="E19" i="27" s="1"/>
  <c r="B19" i="32" s="1"/>
  <c r="Q17" i="31"/>
  <c r="E17" i="32" s="1"/>
  <c r="B52" i="29"/>
  <c r="B95" i="29" s="1"/>
  <c r="C8" i="27"/>
  <c r="D8" i="27" s="1"/>
  <c r="E8" i="27" s="1"/>
  <c r="B8" i="32" s="1"/>
  <c r="Q9" i="19"/>
  <c r="Q5" i="19"/>
  <c r="C4" i="27"/>
  <c r="D4" i="27" s="1"/>
  <c r="E4" i="27" s="1"/>
  <c r="B4" i="32" s="1"/>
  <c r="B59" i="29"/>
  <c r="B102" i="29" s="1"/>
  <c r="Q16" i="19"/>
  <c r="C15" i="27"/>
  <c r="D15" i="27" s="1"/>
  <c r="E15" i="27" s="1"/>
  <c r="B15" i="32" s="1"/>
  <c r="C12" i="27"/>
  <c r="D12" i="27" s="1"/>
  <c r="E12" i="27" s="1"/>
  <c r="B12" i="32" s="1"/>
  <c r="B56" i="29"/>
  <c r="B99" i="29" s="1"/>
  <c r="Q13" i="19"/>
  <c r="B58" i="29"/>
  <c r="B101" i="29" s="1"/>
  <c r="Q15" i="19"/>
  <c r="C14" i="27"/>
  <c r="D14" i="27" s="1"/>
  <c r="E14" i="27" s="1"/>
  <c r="B14" i="32" s="1"/>
  <c r="D5" i="30"/>
  <c r="I5" i="30"/>
  <c r="D104" i="29"/>
  <c r="I104" i="29" s="1"/>
  <c r="I61" i="29"/>
  <c r="H93" i="29"/>
  <c r="D4" i="30"/>
  <c r="I4" i="30"/>
  <c r="Q18" i="31"/>
  <c r="E18" i="32" s="1"/>
  <c r="D7" i="30"/>
  <c r="I7" i="30"/>
  <c r="D3" i="30"/>
  <c r="I3" i="30"/>
  <c r="C5" i="27"/>
  <c r="D5" i="27" s="1"/>
  <c r="E5" i="27" s="1"/>
  <c r="B5" i="32" s="1"/>
  <c r="Q6" i="19"/>
  <c r="B49" i="29"/>
  <c r="B92" i="29" s="1"/>
  <c r="I17" i="30"/>
  <c r="D17" i="30"/>
  <c r="I16" i="30"/>
  <c r="D16" i="30"/>
  <c r="J25" i="19"/>
  <c r="F112" i="18"/>
  <c r="K25" i="19"/>
  <c r="O25" i="19"/>
  <c r="L24" i="29"/>
  <c r="J64" i="29"/>
  <c r="K69" i="19"/>
  <c r="K112" i="18"/>
  <c r="E70" i="18"/>
  <c r="C114" i="18"/>
  <c r="R68" i="19"/>
  <c r="H26" i="19"/>
  <c r="C26" i="19"/>
  <c r="P21" i="31"/>
  <c r="I113" i="18"/>
  <c r="L69" i="18"/>
  <c r="J69" i="18"/>
  <c r="K69" i="18"/>
  <c r="I70" i="19"/>
  <c r="L21" i="31"/>
  <c r="I22" i="29"/>
  <c r="E28" i="19"/>
  <c r="D28" i="19"/>
  <c r="B28" i="19"/>
  <c r="H69" i="18"/>
  <c r="G69" i="18"/>
  <c r="I26" i="19"/>
  <c r="E113" i="18"/>
  <c r="F69" i="18"/>
  <c r="J23" i="31"/>
  <c r="F23" i="31"/>
  <c r="G24" i="19"/>
  <c r="B23" i="31"/>
  <c r="B23" i="30"/>
  <c r="N25" i="31"/>
  <c r="G70" i="19"/>
  <c r="D26" i="19"/>
  <c r="C21" i="30"/>
  <c r="H71" i="19"/>
  <c r="C71" i="19"/>
  <c r="F71" i="19" s="1"/>
  <c r="F108" i="29"/>
  <c r="J6" i="30"/>
  <c r="C6" i="32"/>
  <c r="B72" i="18"/>
  <c r="J18" i="29"/>
  <c r="E104" i="29"/>
  <c r="J104" i="29" s="1"/>
  <c r="D17" i="32" s="1"/>
  <c r="H64" i="29"/>
  <c r="J112" i="18"/>
  <c r="O69" i="19"/>
  <c r="R69" i="19" s="1"/>
  <c r="J69" i="19"/>
  <c r="L69" i="19"/>
  <c r="L112" i="18"/>
  <c r="F69" i="19"/>
  <c r="F24" i="31" s="1"/>
  <c r="G25" i="19"/>
  <c r="J24" i="31"/>
  <c r="M24" i="19"/>
  <c r="K22" i="31"/>
  <c r="L22" i="31" s="1"/>
  <c r="M22" i="31" s="1"/>
  <c r="G22" i="31"/>
  <c r="H22" i="31" s="1"/>
  <c r="I22" i="31" s="1"/>
  <c r="P23" i="19"/>
  <c r="N23" i="19"/>
  <c r="C22" i="31"/>
  <c r="D22" i="31" s="1"/>
  <c r="E26" i="19"/>
  <c r="AO27" i="22"/>
  <c r="F23" i="29"/>
  <c r="N67" i="19"/>
  <c r="C22" i="30" s="1"/>
  <c r="P67" i="19"/>
  <c r="O22" i="31"/>
  <c r="P22" i="31" s="1"/>
  <c r="B65" i="29"/>
  <c r="C21" i="27"/>
  <c r="Q22" i="19"/>
  <c r="I20" i="30"/>
  <c r="D20" i="30"/>
  <c r="B115" i="18"/>
  <c r="D71" i="18"/>
  <c r="C71" i="18"/>
  <c r="BM19" i="22"/>
  <c r="C15" i="29"/>
  <c r="L25" i="19"/>
  <c r="H112" i="18"/>
  <c r="AN23" i="22"/>
  <c r="D107" i="29"/>
  <c r="I107" i="29" s="1"/>
  <c r="I64" i="29"/>
  <c r="D114" i="18"/>
  <c r="I70" i="18"/>
  <c r="F23" i="30"/>
  <c r="R24" i="19"/>
  <c r="L66" i="29"/>
  <c r="G109" i="29"/>
  <c r="K66" i="29"/>
  <c r="C27" i="19"/>
  <c r="H27" i="19"/>
  <c r="Q66" i="19"/>
  <c r="H21" i="31"/>
  <c r="J13" i="30"/>
  <c r="C13" i="32"/>
  <c r="D16" i="32" l="1"/>
  <c r="D14" i="32"/>
  <c r="E3" i="31"/>
  <c r="I3" i="31"/>
  <c r="M3" i="31"/>
  <c r="D3" i="27"/>
  <c r="K23" i="29"/>
  <c r="G113" i="18"/>
  <c r="B24" i="31"/>
  <c r="G32" i="18"/>
  <c r="H32" i="18"/>
  <c r="F32" i="18"/>
  <c r="E26" i="30"/>
  <c r="D33" i="18"/>
  <c r="I33" i="18" s="1"/>
  <c r="B34" i="18"/>
  <c r="C33" i="18"/>
  <c r="E33" i="18" s="1"/>
  <c r="K32" i="18"/>
  <c r="L32" i="18"/>
  <c r="J32" i="18"/>
  <c r="P68" i="19"/>
  <c r="N68" i="19"/>
  <c r="Q68" i="19" s="1"/>
  <c r="F109" i="29"/>
  <c r="K109" i="29" s="1"/>
  <c r="J14" i="30"/>
  <c r="C14" i="32"/>
  <c r="C17" i="32"/>
  <c r="J17" i="30"/>
  <c r="J7" i="30"/>
  <c r="C7" i="32"/>
  <c r="C15" i="32"/>
  <c r="J15" i="30"/>
  <c r="J5" i="30"/>
  <c r="C5" i="32"/>
  <c r="C4" i="32"/>
  <c r="J4" i="30"/>
  <c r="C8" i="32"/>
  <c r="J8" i="30"/>
  <c r="C19" i="32"/>
  <c r="J19" i="30"/>
  <c r="J9" i="30"/>
  <c r="C9" i="32"/>
  <c r="J12" i="30"/>
  <c r="C12" i="32"/>
  <c r="J10" i="30"/>
  <c r="C10" i="32"/>
  <c r="J16" i="30"/>
  <c r="C16" i="32"/>
  <c r="C3" i="32"/>
  <c r="J3" i="30"/>
  <c r="C18" i="32"/>
  <c r="J18" i="30"/>
  <c r="J11" i="30"/>
  <c r="C11" i="32"/>
  <c r="I22" i="30"/>
  <c r="D22" i="30"/>
  <c r="J20" i="30"/>
  <c r="C20" i="32"/>
  <c r="AO28" i="22"/>
  <c r="F25" i="29" s="1"/>
  <c r="K25" i="29" s="1"/>
  <c r="F24" i="29"/>
  <c r="K24" i="29" s="1"/>
  <c r="F27" i="29"/>
  <c r="K27" i="29" s="1"/>
  <c r="G27" i="29"/>
  <c r="L27" i="29" s="1"/>
  <c r="F27" i="19"/>
  <c r="L109" i="29"/>
  <c r="J19" i="29"/>
  <c r="E105" i="29"/>
  <c r="H15" i="29"/>
  <c r="C101" i="29"/>
  <c r="C115" i="18"/>
  <c r="E71" i="18"/>
  <c r="B108" i="29"/>
  <c r="B66" i="29"/>
  <c r="B109" i="29" s="1"/>
  <c r="C22" i="27"/>
  <c r="D22" i="27" s="1"/>
  <c r="E22" i="27" s="1"/>
  <c r="B22" i="32" s="1"/>
  <c r="Q23" i="19"/>
  <c r="M69" i="19"/>
  <c r="B116" i="18"/>
  <c r="C72" i="18"/>
  <c r="D72" i="18"/>
  <c r="J70" i="19"/>
  <c r="J113" i="18"/>
  <c r="O70" i="19"/>
  <c r="R70" i="19" s="1"/>
  <c r="Q67" i="19"/>
  <c r="J70" i="18"/>
  <c r="I71" i="19"/>
  <c r="K70" i="18"/>
  <c r="I114" i="18"/>
  <c r="L70" i="18"/>
  <c r="E22" i="31"/>
  <c r="E72" i="19"/>
  <c r="B72" i="19"/>
  <c r="D72" i="19"/>
  <c r="H65" i="29"/>
  <c r="I21" i="31"/>
  <c r="J65" i="29"/>
  <c r="AN24" i="22"/>
  <c r="BM20" i="22"/>
  <c r="C16" i="29"/>
  <c r="D115" i="18"/>
  <c r="I71" i="18"/>
  <c r="K23" i="31"/>
  <c r="L23" i="31" s="1"/>
  <c r="M23" i="31" s="1"/>
  <c r="G23" i="31"/>
  <c r="H23" i="31" s="1"/>
  <c r="I23" i="31" s="1"/>
  <c r="C23" i="31"/>
  <c r="N24" i="19"/>
  <c r="P24" i="19"/>
  <c r="N24" i="31"/>
  <c r="G69" i="19"/>
  <c r="B25" i="29" s="1"/>
  <c r="K108" i="29"/>
  <c r="B24" i="29"/>
  <c r="B23" i="27"/>
  <c r="C28" i="19"/>
  <c r="H28" i="19"/>
  <c r="M21" i="31"/>
  <c r="L70" i="19"/>
  <c r="L113" i="18"/>
  <c r="M25" i="19"/>
  <c r="G23" i="30"/>
  <c r="L67" i="29"/>
  <c r="G110" i="29"/>
  <c r="L110" i="29" s="1"/>
  <c r="K67" i="29"/>
  <c r="B73" i="19"/>
  <c r="D73" i="19"/>
  <c r="E73" i="19"/>
  <c r="F113" i="18"/>
  <c r="K26" i="19"/>
  <c r="J26" i="19"/>
  <c r="O26" i="19"/>
  <c r="H113" i="18"/>
  <c r="L26" i="19"/>
  <c r="F26" i="19"/>
  <c r="F26" i="29"/>
  <c r="K26" i="29" s="1"/>
  <c r="G26" i="29"/>
  <c r="L26" i="29" s="1"/>
  <c r="D26" i="29"/>
  <c r="I26" i="29" s="1"/>
  <c r="C26" i="29"/>
  <c r="H26" i="29" s="1"/>
  <c r="J26" i="29"/>
  <c r="R25" i="19"/>
  <c r="F24" i="30"/>
  <c r="G24" i="30" s="1"/>
  <c r="F13" i="32"/>
  <c r="I65" i="29"/>
  <c r="D108" i="29"/>
  <c r="I108" i="29" s="1"/>
  <c r="D21" i="27"/>
  <c r="B73" i="18"/>
  <c r="F6" i="32"/>
  <c r="N26" i="31"/>
  <c r="G71" i="19"/>
  <c r="J27" i="29" s="1"/>
  <c r="D21" i="30"/>
  <c r="I21" i="30"/>
  <c r="H23" i="30"/>
  <c r="K113" i="18"/>
  <c r="K70" i="19"/>
  <c r="E25" i="30"/>
  <c r="I27" i="19"/>
  <c r="H70" i="18"/>
  <c r="G70" i="18"/>
  <c r="G114" i="18" s="1"/>
  <c r="E114" i="18"/>
  <c r="F70" i="18"/>
  <c r="D23" i="31" l="1"/>
  <c r="Q3" i="31"/>
  <c r="E3" i="32" s="1"/>
  <c r="E3" i="27"/>
  <c r="F110" i="29"/>
  <c r="K110" i="29" s="1"/>
  <c r="H33" i="18"/>
  <c r="F33" i="18"/>
  <c r="G33" i="18"/>
  <c r="B35" i="18"/>
  <c r="C34" i="18"/>
  <c r="E34" i="18" s="1"/>
  <c r="D34" i="18"/>
  <c r="I34" i="18" s="1"/>
  <c r="L33" i="18"/>
  <c r="J33" i="18"/>
  <c r="K33" i="18"/>
  <c r="C23" i="30"/>
  <c r="F7" i="32"/>
  <c r="I67" i="29"/>
  <c r="J67" i="29"/>
  <c r="F10" i="32"/>
  <c r="F14" i="32"/>
  <c r="H67" i="29"/>
  <c r="F9" i="32"/>
  <c r="F12" i="32"/>
  <c r="N12" i="32" s="1"/>
  <c r="F17" i="32"/>
  <c r="F11" i="32"/>
  <c r="F4" i="32"/>
  <c r="F8" i="32"/>
  <c r="B24" i="27"/>
  <c r="F16" i="32"/>
  <c r="F5" i="32"/>
  <c r="F15" i="32"/>
  <c r="J21" i="30"/>
  <c r="C21" i="32"/>
  <c r="B74" i="18"/>
  <c r="M26" i="19"/>
  <c r="F28" i="29"/>
  <c r="K28" i="29" s="1"/>
  <c r="G28" i="29"/>
  <c r="L28" i="29" s="1"/>
  <c r="F28" i="19"/>
  <c r="E29" i="19"/>
  <c r="B29" i="19"/>
  <c r="Q24" i="19"/>
  <c r="C23" i="27"/>
  <c r="B67" i="29"/>
  <c r="B110" i="29" s="1"/>
  <c r="H16" i="29"/>
  <c r="C102" i="29"/>
  <c r="I66" i="29"/>
  <c r="D109" i="29"/>
  <c r="I109" i="29" s="1"/>
  <c r="J22" i="30"/>
  <c r="C22" i="32"/>
  <c r="K27" i="19"/>
  <c r="J27" i="19"/>
  <c r="F114" i="18"/>
  <c r="O27" i="19"/>
  <c r="E30" i="19"/>
  <c r="B30" i="19"/>
  <c r="D30" i="19"/>
  <c r="E21" i="27"/>
  <c r="N13" i="32"/>
  <c r="J25" i="31"/>
  <c r="F25" i="31"/>
  <c r="G26" i="19"/>
  <c r="B25" i="31"/>
  <c r="B25" i="30"/>
  <c r="H25" i="30" s="1"/>
  <c r="K68" i="29"/>
  <c r="F111" i="29"/>
  <c r="K111" i="29" s="1"/>
  <c r="BM21" i="22"/>
  <c r="C17" i="29"/>
  <c r="C72" i="19"/>
  <c r="F72" i="19" s="1"/>
  <c r="H72" i="19"/>
  <c r="E27" i="30" s="1"/>
  <c r="L71" i="19"/>
  <c r="L114" i="18"/>
  <c r="J71" i="19"/>
  <c r="J114" i="18"/>
  <c r="O71" i="19"/>
  <c r="D116" i="18"/>
  <c r="I72" i="18"/>
  <c r="G71" i="18"/>
  <c r="G115" i="18" s="1"/>
  <c r="H71" i="18"/>
  <c r="E115" i="18"/>
  <c r="F71" i="18"/>
  <c r="I28" i="19"/>
  <c r="J105" i="29"/>
  <c r="D18" i="32" s="1"/>
  <c r="C27" i="29"/>
  <c r="H27" i="29" s="1"/>
  <c r="D27" i="29"/>
  <c r="I27" i="29" s="1"/>
  <c r="L27" i="19"/>
  <c r="H114" i="18"/>
  <c r="E74" i="19"/>
  <c r="B74" i="19"/>
  <c r="D74" i="19"/>
  <c r="D25" i="29"/>
  <c r="B24" i="30"/>
  <c r="I72" i="19"/>
  <c r="K71" i="18"/>
  <c r="J71" i="18"/>
  <c r="L71" i="18"/>
  <c r="I115" i="18"/>
  <c r="J20" i="29"/>
  <c r="E106" i="29"/>
  <c r="J106" i="29" s="1"/>
  <c r="D19" i="32" s="1"/>
  <c r="H66" i="29"/>
  <c r="E72" i="18"/>
  <c r="C116" i="18"/>
  <c r="N69" i="19"/>
  <c r="C24" i="30" s="1"/>
  <c r="O24" i="31"/>
  <c r="P69" i="19"/>
  <c r="G27" i="19"/>
  <c r="J26" i="31"/>
  <c r="F26" i="31"/>
  <c r="B26" i="31"/>
  <c r="B26" i="30"/>
  <c r="H26" i="30" s="1"/>
  <c r="N6" i="32"/>
  <c r="D73" i="18"/>
  <c r="C73" i="18"/>
  <c r="B117" i="18"/>
  <c r="R26" i="19"/>
  <c r="F25" i="30"/>
  <c r="G25" i="30" s="1"/>
  <c r="C73" i="19"/>
  <c r="F73" i="19" s="1"/>
  <c r="H73" i="19"/>
  <c r="L68" i="29"/>
  <c r="G111" i="29"/>
  <c r="L111" i="29" s="1"/>
  <c r="P25" i="19"/>
  <c r="G24" i="31"/>
  <c r="K24" i="31"/>
  <c r="L24" i="31" s="1"/>
  <c r="N25" i="19"/>
  <c r="C24" i="31"/>
  <c r="AN25" i="22"/>
  <c r="Q21" i="31"/>
  <c r="Q22" i="31"/>
  <c r="E22" i="32" s="1"/>
  <c r="K114" i="18"/>
  <c r="K71" i="19"/>
  <c r="J66" i="29"/>
  <c r="M70" i="19"/>
  <c r="H101" i="29"/>
  <c r="E23" i="31" l="1"/>
  <c r="Q23" i="31" s="1"/>
  <c r="E23" i="32" s="1"/>
  <c r="H24" i="31"/>
  <c r="H102" i="29"/>
  <c r="D110" i="29"/>
  <c r="B3" i="32"/>
  <c r="I23" i="30"/>
  <c r="C35" i="18"/>
  <c r="E35" i="18" s="1"/>
  <c r="D35" i="18"/>
  <c r="I35" i="18" s="1"/>
  <c r="B36" i="18"/>
  <c r="J34" i="18"/>
  <c r="K34" i="18"/>
  <c r="L34" i="18"/>
  <c r="F34" i="18"/>
  <c r="G34" i="18"/>
  <c r="H34" i="18"/>
  <c r="D23" i="30"/>
  <c r="N9" i="32"/>
  <c r="N7" i="32"/>
  <c r="N10" i="32"/>
  <c r="N14" i="32"/>
  <c r="N17" i="32"/>
  <c r="N8" i="32"/>
  <c r="N15" i="32"/>
  <c r="N4" i="32"/>
  <c r="N5" i="32"/>
  <c r="N16" i="32"/>
  <c r="N11" i="32"/>
  <c r="J21" i="29"/>
  <c r="E107" i="29"/>
  <c r="Q25" i="19"/>
  <c r="B68" i="29"/>
  <c r="C24" i="27"/>
  <c r="G73" i="19"/>
  <c r="N28" i="31"/>
  <c r="B27" i="29"/>
  <c r="B26" i="27"/>
  <c r="K72" i="19"/>
  <c r="K115" i="18"/>
  <c r="L28" i="19"/>
  <c r="H115" i="18"/>
  <c r="N27" i="31"/>
  <c r="G72" i="19"/>
  <c r="BM22" i="22"/>
  <c r="C18" i="29"/>
  <c r="B21" i="32"/>
  <c r="H30" i="19"/>
  <c r="C30" i="19"/>
  <c r="H29" i="19"/>
  <c r="C29" i="19"/>
  <c r="G28" i="19"/>
  <c r="J27" i="31"/>
  <c r="F27" i="31"/>
  <c r="B27" i="31"/>
  <c r="B27" i="30"/>
  <c r="H27" i="30" s="1"/>
  <c r="L69" i="29"/>
  <c r="G112" i="29"/>
  <c r="C74" i="18"/>
  <c r="B118" i="18"/>
  <c r="D74" i="18"/>
  <c r="AN26" i="22"/>
  <c r="M24" i="31"/>
  <c r="F72" i="18"/>
  <c r="E116" i="18"/>
  <c r="H72" i="18"/>
  <c r="G72" i="18"/>
  <c r="G116" i="18" s="1"/>
  <c r="I29" i="19"/>
  <c r="I25" i="29"/>
  <c r="H74" i="19"/>
  <c r="C74" i="19"/>
  <c r="F74" i="19" s="1"/>
  <c r="R71" i="19"/>
  <c r="B26" i="29"/>
  <c r="B25" i="27"/>
  <c r="R27" i="19"/>
  <c r="F26" i="30"/>
  <c r="G26" i="30" s="1"/>
  <c r="B75" i="18"/>
  <c r="P70" i="19"/>
  <c r="N70" i="19"/>
  <c r="C25" i="30" s="1"/>
  <c r="O25" i="31"/>
  <c r="P25" i="31" s="1"/>
  <c r="C117" i="18"/>
  <c r="E73" i="18"/>
  <c r="P24" i="31"/>
  <c r="L72" i="19"/>
  <c r="L115" i="18"/>
  <c r="O28" i="19"/>
  <c r="J28" i="19"/>
  <c r="F115" i="18"/>
  <c r="K28" i="19"/>
  <c r="D23" i="27"/>
  <c r="E31" i="19"/>
  <c r="B31" i="19"/>
  <c r="D31" i="19"/>
  <c r="I24" i="30"/>
  <c r="D24" i="30"/>
  <c r="E21" i="32"/>
  <c r="D24" i="31"/>
  <c r="D117" i="18"/>
  <c r="I73" i="18"/>
  <c r="Q69" i="19"/>
  <c r="F19" i="32"/>
  <c r="J115" i="18"/>
  <c r="J72" i="19"/>
  <c r="O72" i="19"/>
  <c r="R72" i="19" s="1"/>
  <c r="H24" i="30"/>
  <c r="I73" i="19"/>
  <c r="K72" i="18"/>
  <c r="J72" i="18"/>
  <c r="L72" i="18"/>
  <c r="I116" i="18"/>
  <c r="M71" i="19"/>
  <c r="H17" i="29"/>
  <c r="C103" i="29"/>
  <c r="M27" i="19"/>
  <c r="D29" i="19"/>
  <c r="K69" i="29"/>
  <c r="F112" i="29"/>
  <c r="P26" i="19"/>
  <c r="C25" i="31"/>
  <c r="D25" i="31" s="1"/>
  <c r="E25" i="31" s="1"/>
  <c r="G25" i="31"/>
  <c r="N26" i="19"/>
  <c r="K25" i="31"/>
  <c r="L25" i="31" s="1"/>
  <c r="M25" i="31" s="1"/>
  <c r="B75" i="19"/>
  <c r="E75" i="19"/>
  <c r="D75" i="19"/>
  <c r="I24" i="31" l="1"/>
  <c r="I110" i="29"/>
  <c r="J107" i="29"/>
  <c r="D20" i="32" s="1"/>
  <c r="J23" i="30"/>
  <c r="D24" i="27"/>
  <c r="E24" i="27" s="1"/>
  <c r="B24" i="32" s="1"/>
  <c r="F3" i="32"/>
  <c r="C36" i="18"/>
  <c r="E36" i="18" s="1"/>
  <c r="D36" i="18"/>
  <c r="I36" i="18" s="1"/>
  <c r="B37" i="18"/>
  <c r="J35" i="18"/>
  <c r="K35" i="18"/>
  <c r="L35" i="18"/>
  <c r="F35" i="18"/>
  <c r="G35" i="18"/>
  <c r="H35" i="18"/>
  <c r="C23" i="32"/>
  <c r="M72" i="19"/>
  <c r="N72" i="19" s="1"/>
  <c r="H25" i="31"/>
  <c r="K112" i="29"/>
  <c r="G113" i="29"/>
  <c r="L70" i="29"/>
  <c r="P71" i="19"/>
  <c r="O26" i="31"/>
  <c r="P26" i="31" s="1"/>
  <c r="N71" i="19"/>
  <c r="C26" i="30" s="1"/>
  <c r="K73" i="19"/>
  <c r="K116" i="18"/>
  <c r="N19" i="32"/>
  <c r="J68" i="29"/>
  <c r="F27" i="30"/>
  <c r="G27" i="30" s="1"/>
  <c r="R28" i="19"/>
  <c r="C75" i="18"/>
  <c r="B119" i="18"/>
  <c r="D75" i="18"/>
  <c r="D118" i="18"/>
  <c r="I74" i="18"/>
  <c r="C28" i="29"/>
  <c r="H28" i="29" s="1"/>
  <c r="J28" i="29"/>
  <c r="D28" i="29"/>
  <c r="H75" i="19"/>
  <c r="C75" i="19"/>
  <c r="F75" i="19" s="1"/>
  <c r="K26" i="31"/>
  <c r="L26" i="31" s="1"/>
  <c r="M26" i="31" s="1"/>
  <c r="N27" i="19"/>
  <c r="P27" i="19"/>
  <c r="C26" i="31"/>
  <c r="D26" i="31" s="1"/>
  <c r="E26" i="31" s="1"/>
  <c r="G26" i="31"/>
  <c r="H26" i="31" s="1"/>
  <c r="I26" i="31" s="1"/>
  <c r="D32" i="19"/>
  <c r="B32" i="19"/>
  <c r="E32" i="19"/>
  <c r="N29" i="31"/>
  <c r="G74" i="19"/>
  <c r="D30" i="29" s="1"/>
  <c r="I30" i="29" s="1"/>
  <c r="L29" i="19"/>
  <c r="H116" i="18"/>
  <c r="B27" i="27"/>
  <c r="B28" i="29"/>
  <c r="F30" i="29"/>
  <c r="K30" i="29" s="1"/>
  <c r="F30" i="19"/>
  <c r="G30" i="29"/>
  <c r="L30" i="29" s="1"/>
  <c r="H18" i="29"/>
  <c r="C104" i="29"/>
  <c r="H104" i="29" s="1"/>
  <c r="F18" i="32"/>
  <c r="D25" i="30"/>
  <c r="I25" i="30"/>
  <c r="C25" i="27"/>
  <c r="Q26" i="19"/>
  <c r="B69" i="29"/>
  <c r="B112" i="29" s="1"/>
  <c r="F113" i="29"/>
  <c r="K113" i="29" s="1"/>
  <c r="K70" i="29"/>
  <c r="H103" i="29"/>
  <c r="L73" i="19"/>
  <c r="L116" i="18"/>
  <c r="H68" i="29"/>
  <c r="E24" i="31"/>
  <c r="J24" i="30"/>
  <c r="C24" i="32"/>
  <c r="C31" i="19"/>
  <c r="H31" i="19"/>
  <c r="E23" i="27"/>
  <c r="G73" i="18"/>
  <c r="G117" i="18" s="1"/>
  <c r="E117" i="18"/>
  <c r="H73" i="18"/>
  <c r="I30" i="19"/>
  <c r="F73" i="18"/>
  <c r="B76" i="19"/>
  <c r="E76" i="19"/>
  <c r="D76" i="19"/>
  <c r="J22" i="29"/>
  <c r="E108" i="29"/>
  <c r="E74" i="18"/>
  <c r="C118" i="18"/>
  <c r="G29" i="29"/>
  <c r="L29" i="29" s="1"/>
  <c r="F29" i="19"/>
  <c r="C29" i="29"/>
  <c r="H29" i="29" s="1"/>
  <c r="F29" i="29"/>
  <c r="K29" i="29" s="1"/>
  <c r="J29" i="29"/>
  <c r="D29" i="29"/>
  <c r="I29" i="29" s="1"/>
  <c r="E29" i="30"/>
  <c r="BM23" i="22"/>
  <c r="C19" i="29"/>
  <c r="B111" i="29"/>
  <c r="J116" i="18"/>
  <c r="O73" i="19"/>
  <c r="R73" i="19" s="1"/>
  <c r="J73" i="19"/>
  <c r="D111" i="29"/>
  <c r="I68" i="29"/>
  <c r="J73" i="18"/>
  <c r="K73" i="18"/>
  <c r="I74" i="19"/>
  <c r="L73" i="18"/>
  <c r="I117" i="18"/>
  <c r="M28" i="19"/>
  <c r="Q70" i="19"/>
  <c r="B76" i="18"/>
  <c r="K29" i="19"/>
  <c r="J29" i="19"/>
  <c r="O29" i="19"/>
  <c r="F116" i="18"/>
  <c r="AN27" i="22"/>
  <c r="L112" i="29"/>
  <c r="E28" i="30"/>
  <c r="L113" i="29" l="1"/>
  <c r="N3" i="32"/>
  <c r="G36" i="18"/>
  <c r="H36" i="18"/>
  <c r="F36" i="18"/>
  <c r="E30" i="30"/>
  <c r="D37" i="18"/>
  <c r="I37" i="18" s="1"/>
  <c r="B38" i="18"/>
  <c r="C37" i="18"/>
  <c r="E37" i="18" s="1"/>
  <c r="K36" i="18"/>
  <c r="L36" i="18"/>
  <c r="J36" i="18"/>
  <c r="C30" i="29"/>
  <c r="H30" i="29" s="1"/>
  <c r="P72" i="19"/>
  <c r="Q72" i="19"/>
  <c r="I71" i="29"/>
  <c r="O27" i="31"/>
  <c r="P27" i="31" s="1"/>
  <c r="J71" i="29"/>
  <c r="H71" i="29"/>
  <c r="M73" i="19"/>
  <c r="P73" i="19" s="1"/>
  <c r="Q26" i="31"/>
  <c r="E26" i="32" s="1"/>
  <c r="AN28" i="22"/>
  <c r="L117" i="18"/>
  <c r="L74" i="19"/>
  <c r="E112" i="29"/>
  <c r="J112" i="29" s="1"/>
  <c r="J69" i="29"/>
  <c r="R29" i="19"/>
  <c r="F28" i="30"/>
  <c r="G28" i="30" s="1"/>
  <c r="B77" i="19"/>
  <c r="D77" i="19"/>
  <c r="E77" i="19"/>
  <c r="D112" i="29"/>
  <c r="I112" i="29" s="1"/>
  <c r="I69" i="29"/>
  <c r="K71" i="29"/>
  <c r="F114" i="29"/>
  <c r="K114" i="29" s="1"/>
  <c r="L71" i="29"/>
  <c r="G114" i="29"/>
  <c r="L114" i="29" s="1"/>
  <c r="K117" i="18"/>
  <c r="K74" i="19"/>
  <c r="BM24" i="22"/>
  <c r="C20" i="29"/>
  <c r="D25" i="27"/>
  <c r="J30" i="29"/>
  <c r="B70" i="29"/>
  <c r="C26" i="27"/>
  <c r="D26" i="27" s="1"/>
  <c r="E26" i="27" s="1"/>
  <c r="B26" i="32" s="1"/>
  <c r="Q27" i="19"/>
  <c r="D119" i="18"/>
  <c r="I75" i="18"/>
  <c r="J23" i="29"/>
  <c r="E109" i="29"/>
  <c r="J109" i="29" s="1"/>
  <c r="D22" i="32" s="1"/>
  <c r="M29" i="19"/>
  <c r="D76" i="18"/>
  <c r="C76" i="18"/>
  <c r="B120" i="18"/>
  <c r="H69" i="29"/>
  <c r="C112" i="29"/>
  <c r="H112" i="29" s="1"/>
  <c r="J74" i="19"/>
  <c r="O74" i="19"/>
  <c r="R74" i="19" s="1"/>
  <c r="J117" i="18"/>
  <c r="J30" i="19"/>
  <c r="F117" i="18"/>
  <c r="K30" i="19"/>
  <c r="O30" i="19"/>
  <c r="G31" i="29"/>
  <c r="L31" i="29" s="1"/>
  <c r="F31" i="29"/>
  <c r="K31" i="29" s="1"/>
  <c r="F31" i="19"/>
  <c r="Q24" i="31"/>
  <c r="J29" i="31"/>
  <c r="F29" i="31"/>
  <c r="G30" i="19"/>
  <c r="B29" i="31"/>
  <c r="B29" i="30"/>
  <c r="H29" i="30" s="1"/>
  <c r="I118" i="18"/>
  <c r="I75" i="19"/>
  <c r="L74" i="18"/>
  <c r="K74" i="18"/>
  <c r="J74" i="18"/>
  <c r="Q71" i="19"/>
  <c r="N28" i="19"/>
  <c r="C27" i="30"/>
  <c r="P28" i="19"/>
  <c r="C27" i="31"/>
  <c r="D27" i="31" s="1"/>
  <c r="G27" i="31"/>
  <c r="H27" i="31" s="1"/>
  <c r="I27" i="31" s="1"/>
  <c r="K27" i="31"/>
  <c r="L27" i="31" s="1"/>
  <c r="M27" i="31" s="1"/>
  <c r="F74" i="18"/>
  <c r="E118" i="18"/>
  <c r="H74" i="18"/>
  <c r="G74" i="18"/>
  <c r="G118" i="18" s="1"/>
  <c r="I31" i="19"/>
  <c r="C76" i="19"/>
  <c r="F76" i="19" s="1"/>
  <c r="H76" i="19"/>
  <c r="J25" i="30"/>
  <c r="C25" i="32"/>
  <c r="N18" i="32"/>
  <c r="G75" i="19"/>
  <c r="C31" i="29" s="1"/>
  <c r="H31" i="29" s="1"/>
  <c r="N30" i="31"/>
  <c r="C119" i="18"/>
  <c r="E75" i="18"/>
  <c r="I25" i="31"/>
  <c r="B77" i="18"/>
  <c r="E33" i="19"/>
  <c r="B33" i="19"/>
  <c r="D33" i="19"/>
  <c r="I111" i="29"/>
  <c r="H19" i="29"/>
  <c r="C105" i="29"/>
  <c r="G29" i="19"/>
  <c r="B28" i="30"/>
  <c r="H28" i="30" s="1"/>
  <c r="F28" i="31"/>
  <c r="B28" i="31"/>
  <c r="J28" i="31"/>
  <c r="J108" i="29"/>
  <c r="D21" i="32" s="1"/>
  <c r="H117" i="18"/>
  <c r="L30" i="19"/>
  <c r="B23" i="32"/>
  <c r="C32" i="19"/>
  <c r="H32" i="19"/>
  <c r="I26" i="30"/>
  <c r="D26" i="30"/>
  <c r="I28" i="29"/>
  <c r="F20" i="32" l="1"/>
  <c r="C114" i="29"/>
  <c r="H114" i="29" s="1"/>
  <c r="E31" i="30"/>
  <c r="H37" i="18"/>
  <c r="F37" i="18"/>
  <c r="G37" i="18"/>
  <c r="B39" i="18"/>
  <c r="C38" i="18"/>
  <c r="E38" i="18" s="1"/>
  <c r="D38" i="18"/>
  <c r="I38" i="18" s="1"/>
  <c r="L37" i="18"/>
  <c r="J37" i="18"/>
  <c r="K37" i="18"/>
  <c r="N73" i="19"/>
  <c r="Q73" i="19" s="1"/>
  <c r="O28" i="31"/>
  <c r="P28" i="31" s="1"/>
  <c r="D114" i="29"/>
  <c r="I114" i="29" s="1"/>
  <c r="E114" i="29"/>
  <c r="J114" i="29" s="1"/>
  <c r="J31" i="29"/>
  <c r="M74" i="19"/>
  <c r="P74" i="19" s="1"/>
  <c r="D34" i="19"/>
  <c r="E34" i="19"/>
  <c r="B34" i="19"/>
  <c r="F118" i="18"/>
  <c r="O31" i="19"/>
  <c r="K31" i="19"/>
  <c r="J31" i="19"/>
  <c r="I27" i="30"/>
  <c r="D27" i="30"/>
  <c r="L75" i="19"/>
  <c r="L118" i="18"/>
  <c r="B78" i="18"/>
  <c r="Q25" i="31"/>
  <c r="E25" i="32" s="1"/>
  <c r="G76" i="19"/>
  <c r="C32" i="29" s="1"/>
  <c r="H32" i="29" s="1"/>
  <c r="N31" i="31"/>
  <c r="H70" i="29"/>
  <c r="C113" i="29"/>
  <c r="H113" i="29" s="1"/>
  <c r="K75" i="19"/>
  <c r="K118" i="18"/>
  <c r="B30" i="31"/>
  <c r="G31" i="19"/>
  <c r="J30" i="31"/>
  <c r="B30" i="30"/>
  <c r="H30" i="30" s="1"/>
  <c r="F30" i="31"/>
  <c r="M30" i="19"/>
  <c r="C28" i="31"/>
  <c r="D28" i="31" s="1"/>
  <c r="E28" i="31" s="1"/>
  <c r="K28" i="31"/>
  <c r="L28" i="31" s="1"/>
  <c r="M28" i="31" s="1"/>
  <c r="G28" i="31"/>
  <c r="H28" i="31" s="1"/>
  <c r="I28" i="31" s="1"/>
  <c r="P29" i="19"/>
  <c r="N29" i="19"/>
  <c r="H20" i="29"/>
  <c r="C106" i="29"/>
  <c r="H106" i="29" s="1"/>
  <c r="D113" i="29"/>
  <c r="I70" i="29"/>
  <c r="R30" i="19"/>
  <c r="F29" i="30"/>
  <c r="G29" i="30" s="1"/>
  <c r="G115" i="29"/>
  <c r="L115" i="29" s="1"/>
  <c r="L72" i="29"/>
  <c r="BM25" i="22"/>
  <c r="C21" i="29"/>
  <c r="F32" i="19"/>
  <c r="F32" i="29"/>
  <c r="K32" i="29" s="1"/>
  <c r="G32" i="29"/>
  <c r="L32" i="29" s="1"/>
  <c r="H105" i="29"/>
  <c r="C77" i="18"/>
  <c r="B121" i="18"/>
  <c r="D77" i="18"/>
  <c r="B71" i="29"/>
  <c r="B114" i="29" s="1"/>
  <c r="Q28" i="19"/>
  <c r="C27" i="27"/>
  <c r="D27" i="27" s="1"/>
  <c r="E27" i="27" s="1"/>
  <c r="B27" i="32" s="1"/>
  <c r="B29" i="27"/>
  <c r="B30" i="29"/>
  <c r="E24" i="32"/>
  <c r="C120" i="18"/>
  <c r="E76" i="18"/>
  <c r="K72" i="29"/>
  <c r="F115" i="29"/>
  <c r="K115" i="29" s="1"/>
  <c r="F22" i="32"/>
  <c r="K75" i="18"/>
  <c r="L75" i="18"/>
  <c r="I119" i="18"/>
  <c r="I76" i="19"/>
  <c r="J75" i="18"/>
  <c r="B113" i="29"/>
  <c r="C77" i="19"/>
  <c r="F77" i="19" s="1"/>
  <c r="H77" i="19"/>
  <c r="J24" i="29"/>
  <c r="E110" i="29"/>
  <c r="B28" i="27"/>
  <c r="B29" i="29"/>
  <c r="H33" i="19"/>
  <c r="C33" i="19"/>
  <c r="J26" i="30"/>
  <c r="C26" i="32"/>
  <c r="D78" i="19"/>
  <c r="B78" i="19"/>
  <c r="E78" i="19"/>
  <c r="E119" i="18"/>
  <c r="F75" i="18"/>
  <c r="I32" i="19"/>
  <c r="H75" i="18"/>
  <c r="G75" i="18"/>
  <c r="G119" i="18" s="1"/>
  <c r="L31" i="19"/>
  <c r="H118" i="18"/>
  <c r="E27" i="31"/>
  <c r="J70" i="29"/>
  <c r="E113" i="29"/>
  <c r="J113" i="29" s="1"/>
  <c r="O75" i="19"/>
  <c r="R75" i="19" s="1"/>
  <c r="J118" i="18"/>
  <c r="J75" i="19"/>
  <c r="D31" i="29"/>
  <c r="I76" i="18"/>
  <c r="D120" i="18"/>
  <c r="E25" i="27"/>
  <c r="J25" i="29"/>
  <c r="E111" i="29"/>
  <c r="J111" i="29" s="1"/>
  <c r="D24" i="32" s="1"/>
  <c r="D42" i="32" l="1"/>
  <c r="N20" i="32"/>
  <c r="D32" i="29"/>
  <c r="I32" i="29" s="1"/>
  <c r="F38" i="18"/>
  <c r="G38" i="18"/>
  <c r="H38" i="18"/>
  <c r="C39" i="18"/>
  <c r="E39" i="18" s="1"/>
  <c r="D39" i="18"/>
  <c r="I39" i="18" s="1"/>
  <c r="B40" i="18"/>
  <c r="J38" i="18"/>
  <c r="K38" i="18"/>
  <c r="L38" i="18"/>
  <c r="D115" i="29"/>
  <c r="I115" i="29" s="1"/>
  <c r="J72" i="29"/>
  <c r="H72" i="29"/>
  <c r="C28" i="30"/>
  <c r="D28" i="30" s="1"/>
  <c r="O29" i="31"/>
  <c r="P29" i="31" s="1"/>
  <c r="N74" i="19"/>
  <c r="Q74" i="19" s="1"/>
  <c r="Q28" i="31"/>
  <c r="E28" i="32" s="1"/>
  <c r="F24" i="32"/>
  <c r="Q27" i="31"/>
  <c r="M31" i="19"/>
  <c r="N32" i="31"/>
  <c r="G77" i="19"/>
  <c r="D33" i="29" s="1"/>
  <c r="I33" i="29" s="1"/>
  <c r="L119" i="18"/>
  <c r="L76" i="19"/>
  <c r="C121" i="18"/>
  <c r="E77" i="18"/>
  <c r="B31" i="31"/>
  <c r="F31" i="31"/>
  <c r="B31" i="30"/>
  <c r="H31" i="30" s="1"/>
  <c r="J31" i="31"/>
  <c r="G32" i="19"/>
  <c r="L73" i="29"/>
  <c r="G116" i="29"/>
  <c r="L116" i="29" s="1"/>
  <c r="P30" i="19"/>
  <c r="N30" i="19"/>
  <c r="C29" i="31"/>
  <c r="D29" i="31" s="1"/>
  <c r="E29" i="31" s="1"/>
  <c r="G29" i="31"/>
  <c r="H29" i="31" s="1"/>
  <c r="I29" i="31" s="1"/>
  <c r="K29" i="31"/>
  <c r="L29" i="31" s="1"/>
  <c r="M29" i="31" s="1"/>
  <c r="B31" i="29"/>
  <c r="B30" i="27"/>
  <c r="E35" i="19"/>
  <c r="B35" i="19"/>
  <c r="D35" i="19"/>
  <c r="L76" i="18"/>
  <c r="K76" i="18"/>
  <c r="I77" i="19"/>
  <c r="J76" i="18"/>
  <c r="I120" i="18"/>
  <c r="H119" i="18"/>
  <c r="L32" i="19"/>
  <c r="K73" i="29"/>
  <c r="F116" i="29"/>
  <c r="K116" i="29" s="1"/>
  <c r="B79" i="18"/>
  <c r="H34" i="19"/>
  <c r="C34" i="19"/>
  <c r="H78" i="19"/>
  <c r="C78" i="19"/>
  <c r="F78" i="19" s="1"/>
  <c r="M75" i="19"/>
  <c r="O32" i="19"/>
  <c r="F119" i="18"/>
  <c r="K32" i="19"/>
  <c r="J32" i="19"/>
  <c r="F33" i="29"/>
  <c r="K33" i="29" s="1"/>
  <c r="F33" i="19"/>
  <c r="G33" i="29"/>
  <c r="L33" i="29" s="1"/>
  <c r="J110" i="29"/>
  <c r="D23" i="32" s="1"/>
  <c r="J76" i="19"/>
  <c r="O76" i="19"/>
  <c r="R76" i="19" s="1"/>
  <c r="J119" i="18"/>
  <c r="K76" i="19"/>
  <c r="K119" i="18"/>
  <c r="J32" i="29"/>
  <c r="H21" i="29"/>
  <c r="C107" i="29"/>
  <c r="H107" i="29" s="1"/>
  <c r="D78" i="18"/>
  <c r="B122" i="18"/>
  <c r="C78" i="18"/>
  <c r="F21" i="32"/>
  <c r="C27" i="32"/>
  <c r="J27" i="30"/>
  <c r="R31" i="19"/>
  <c r="F30" i="30"/>
  <c r="G30" i="30" s="1"/>
  <c r="B25" i="32"/>
  <c r="I31" i="29"/>
  <c r="E32" i="30"/>
  <c r="N22" i="32"/>
  <c r="F76" i="18"/>
  <c r="H76" i="18"/>
  <c r="G76" i="18"/>
  <c r="G120" i="18" s="1"/>
  <c r="E120" i="18"/>
  <c r="I33" i="19"/>
  <c r="I77" i="18"/>
  <c r="D121" i="18"/>
  <c r="BM26" i="22"/>
  <c r="C22" i="29"/>
  <c r="I113" i="29"/>
  <c r="C28" i="27"/>
  <c r="D28" i="27" s="1"/>
  <c r="B72" i="29"/>
  <c r="B115" i="29" s="1"/>
  <c r="Q29" i="19"/>
  <c r="E79" i="19"/>
  <c r="B79" i="19"/>
  <c r="D79" i="19"/>
  <c r="F39" i="18" l="1"/>
  <c r="G39" i="18"/>
  <c r="H39" i="18"/>
  <c r="C40" i="18"/>
  <c r="E40" i="18" s="1"/>
  <c r="D40" i="18"/>
  <c r="I40" i="18" s="1"/>
  <c r="B41" i="18"/>
  <c r="J39" i="18"/>
  <c r="K39" i="18"/>
  <c r="L39" i="18"/>
  <c r="I28" i="30"/>
  <c r="C115" i="29"/>
  <c r="H115" i="29" s="1"/>
  <c r="E115" i="29"/>
  <c r="J115" i="29" s="1"/>
  <c r="I72" i="29"/>
  <c r="D116" i="29"/>
  <c r="I116" i="29" s="1"/>
  <c r="C116" i="29"/>
  <c r="H116" i="29" s="1"/>
  <c r="C29" i="30"/>
  <c r="D29" i="30" s="1"/>
  <c r="E28" i="27"/>
  <c r="O30" i="31"/>
  <c r="P30" i="31" s="1"/>
  <c r="N75" i="19"/>
  <c r="C30" i="30" s="1"/>
  <c r="P75" i="19"/>
  <c r="C79" i="18"/>
  <c r="B123" i="18"/>
  <c r="D79" i="18"/>
  <c r="H79" i="19"/>
  <c r="C79" i="19"/>
  <c r="F79" i="19" s="1"/>
  <c r="C28" i="32"/>
  <c r="J28" i="30"/>
  <c r="I121" i="18"/>
  <c r="J77" i="18"/>
  <c r="K77" i="18"/>
  <c r="I78" i="19"/>
  <c r="L77" i="18"/>
  <c r="H120" i="18"/>
  <c r="L33" i="19"/>
  <c r="N21" i="32"/>
  <c r="D122" i="18"/>
  <c r="I78" i="18"/>
  <c r="B32" i="31"/>
  <c r="B32" i="30"/>
  <c r="H32" i="30" s="1"/>
  <c r="F32" i="31"/>
  <c r="J32" i="31"/>
  <c r="G33" i="19"/>
  <c r="G34" i="29"/>
  <c r="L34" i="29" s="1"/>
  <c r="F34" i="19"/>
  <c r="F34" i="29"/>
  <c r="K34" i="29" s="1"/>
  <c r="B80" i="19"/>
  <c r="E80" i="19"/>
  <c r="D80" i="19"/>
  <c r="L120" i="18"/>
  <c r="L77" i="19"/>
  <c r="B32" i="29"/>
  <c r="B31" i="27"/>
  <c r="E27" i="32"/>
  <c r="BM27" i="22"/>
  <c r="C23" i="29"/>
  <c r="K120" i="18"/>
  <c r="K77" i="19"/>
  <c r="G30" i="31"/>
  <c r="H30" i="31" s="1"/>
  <c r="I30" i="31" s="1"/>
  <c r="K30" i="31"/>
  <c r="L30" i="31" s="1"/>
  <c r="M30" i="31" s="1"/>
  <c r="N31" i="19"/>
  <c r="C30" i="31"/>
  <c r="D30" i="31" s="1"/>
  <c r="E30" i="31" s="1"/>
  <c r="P31" i="19"/>
  <c r="K33" i="19"/>
  <c r="F120" i="18"/>
  <c r="O33" i="19"/>
  <c r="J33" i="19"/>
  <c r="C33" i="29"/>
  <c r="H33" i="29" s="1"/>
  <c r="J33" i="29"/>
  <c r="E33" i="30"/>
  <c r="E36" i="19"/>
  <c r="B36" i="19"/>
  <c r="D36" i="19"/>
  <c r="O77" i="19"/>
  <c r="R77" i="19" s="1"/>
  <c r="J120" i="18"/>
  <c r="J77" i="19"/>
  <c r="C35" i="19"/>
  <c r="H35" i="19"/>
  <c r="E121" i="18"/>
  <c r="G77" i="18"/>
  <c r="G121" i="18" s="1"/>
  <c r="H77" i="18"/>
  <c r="F77" i="18"/>
  <c r="I34" i="19"/>
  <c r="N24" i="32"/>
  <c r="M32" i="19"/>
  <c r="C29" i="27"/>
  <c r="D29" i="27" s="1"/>
  <c r="E29" i="27" s="1"/>
  <c r="B29" i="32" s="1"/>
  <c r="Q30" i="19"/>
  <c r="B73" i="29"/>
  <c r="B116" i="29" s="1"/>
  <c r="H22" i="29"/>
  <c r="C108" i="29"/>
  <c r="H108" i="29" s="1"/>
  <c r="F25" i="32"/>
  <c r="C122" i="18"/>
  <c r="E78" i="18"/>
  <c r="M76" i="19"/>
  <c r="R32" i="19"/>
  <c r="F31" i="30"/>
  <c r="G31" i="30" s="1"/>
  <c r="N33" i="31"/>
  <c r="G78" i="19"/>
  <c r="J34" i="29" s="1"/>
  <c r="B80" i="18"/>
  <c r="Q29" i="31"/>
  <c r="E29" i="32" s="1"/>
  <c r="F117" i="29"/>
  <c r="K117" i="29" s="1"/>
  <c r="K74" i="29"/>
  <c r="L74" i="29"/>
  <c r="G117" i="29"/>
  <c r="L117" i="29" s="1"/>
  <c r="B42" i="18" l="1"/>
  <c r="B85" i="18"/>
  <c r="G40" i="18"/>
  <c r="H40" i="18"/>
  <c r="F40" i="18"/>
  <c r="D41" i="18"/>
  <c r="C41" i="18"/>
  <c r="K40" i="18"/>
  <c r="L40" i="18"/>
  <c r="J40" i="18"/>
  <c r="H73" i="29"/>
  <c r="I73" i="29"/>
  <c r="E116" i="29"/>
  <c r="J116" i="29" s="1"/>
  <c r="J73" i="29"/>
  <c r="I29" i="30"/>
  <c r="E34" i="30"/>
  <c r="I30" i="30"/>
  <c r="D30" i="30"/>
  <c r="N25" i="32"/>
  <c r="J34" i="19"/>
  <c r="O34" i="19"/>
  <c r="K34" i="19"/>
  <c r="F121" i="18"/>
  <c r="H23" i="29"/>
  <c r="C109" i="29"/>
  <c r="H109" i="29" s="1"/>
  <c r="I79" i="18"/>
  <c r="D123" i="18"/>
  <c r="C80" i="18"/>
  <c r="B124" i="18"/>
  <c r="D80" i="18"/>
  <c r="G78" i="18"/>
  <c r="G122" i="18" s="1"/>
  <c r="I35" i="19"/>
  <c r="E122" i="18"/>
  <c r="F78" i="18"/>
  <c r="H78" i="18"/>
  <c r="F118" i="29"/>
  <c r="K118" i="29" s="1"/>
  <c r="K75" i="29"/>
  <c r="L34" i="19"/>
  <c r="H121" i="18"/>
  <c r="M33" i="19"/>
  <c r="BM28" i="22"/>
  <c r="C25" i="29" s="1"/>
  <c r="C24" i="29"/>
  <c r="B32" i="27"/>
  <c r="B33" i="29"/>
  <c r="K121" i="18"/>
  <c r="K78" i="19"/>
  <c r="Q75" i="19"/>
  <c r="B81" i="18"/>
  <c r="N32" i="19"/>
  <c r="C31" i="31"/>
  <c r="D31" i="31" s="1"/>
  <c r="E31" i="31" s="1"/>
  <c r="G31" i="31"/>
  <c r="H31" i="31" s="1"/>
  <c r="I31" i="31" s="1"/>
  <c r="K31" i="31"/>
  <c r="L31" i="31" s="1"/>
  <c r="M31" i="31" s="1"/>
  <c r="P32" i="19"/>
  <c r="F35" i="19"/>
  <c r="G35" i="29"/>
  <c r="L35" i="29" s="1"/>
  <c r="F35" i="29"/>
  <c r="K35" i="29" s="1"/>
  <c r="H36" i="19"/>
  <c r="C36" i="19"/>
  <c r="F32" i="30"/>
  <c r="G32" i="30" s="1"/>
  <c r="R33" i="19"/>
  <c r="Q30" i="31"/>
  <c r="E30" i="32" s="1"/>
  <c r="H80" i="19"/>
  <c r="C80" i="19"/>
  <c r="F80" i="19" s="1"/>
  <c r="C34" i="29"/>
  <c r="H34" i="29" s="1"/>
  <c r="I122" i="18"/>
  <c r="L78" i="18"/>
  <c r="J78" i="18"/>
  <c r="I79" i="19"/>
  <c r="K78" i="18"/>
  <c r="J78" i="19"/>
  <c r="O78" i="19"/>
  <c r="R78" i="19" s="1"/>
  <c r="J121" i="18"/>
  <c r="G79" i="19"/>
  <c r="C35" i="29" s="1"/>
  <c r="H35" i="29" s="1"/>
  <c r="N34" i="31"/>
  <c r="E79" i="18"/>
  <c r="C123" i="18"/>
  <c r="B81" i="19"/>
  <c r="E81" i="19"/>
  <c r="D81" i="19"/>
  <c r="N76" i="19"/>
  <c r="P76" i="19"/>
  <c r="O31" i="31"/>
  <c r="P31" i="31" s="1"/>
  <c r="D34" i="29"/>
  <c r="I34" i="29" s="1"/>
  <c r="D37" i="19"/>
  <c r="E37" i="19"/>
  <c r="B37" i="19"/>
  <c r="G118" i="29"/>
  <c r="L118" i="29" s="1"/>
  <c r="L75" i="29"/>
  <c r="M77" i="19"/>
  <c r="F26" i="32"/>
  <c r="C30" i="27"/>
  <c r="D30" i="27" s="1"/>
  <c r="E30" i="27" s="1"/>
  <c r="B30" i="32" s="1"/>
  <c r="B74" i="29"/>
  <c r="B117" i="29" s="1"/>
  <c r="Q31" i="19"/>
  <c r="F27" i="32"/>
  <c r="J29" i="30"/>
  <c r="C29" i="32"/>
  <c r="B33" i="31"/>
  <c r="J33" i="31"/>
  <c r="G34" i="19"/>
  <c r="B33" i="30"/>
  <c r="H33" i="30" s="1"/>
  <c r="F33" i="31"/>
  <c r="K42" i="32"/>
  <c r="F23" i="32"/>
  <c r="L78" i="19"/>
  <c r="L121" i="18"/>
  <c r="B28" i="32"/>
  <c r="C85" i="18" l="1"/>
  <c r="D85" i="18"/>
  <c r="E41" i="18"/>
  <c r="E42" i="18" s="1"/>
  <c r="C42" i="18"/>
  <c r="I41" i="18"/>
  <c r="I42" i="18" s="1"/>
  <c r="D42" i="18"/>
  <c r="H41" i="18"/>
  <c r="H42" i="18" s="1"/>
  <c r="J35" i="29"/>
  <c r="M78" i="19"/>
  <c r="N78" i="19" s="1"/>
  <c r="Q78" i="19" s="1"/>
  <c r="Q31" i="31"/>
  <c r="E31" i="32" s="1"/>
  <c r="J74" i="29"/>
  <c r="E117" i="29"/>
  <c r="J117" i="29" s="1"/>
  <c r="K76" i="29"/>
  <c r="F119" i="29"/>
  <c r="K119" i="29" s="1"/>
  <c r="I80" i="18"/>
  <c r="D124" i="18"/>
  <c r="F28" i="32"/>
  <c r="N27" i="32"/>
  <c r="O32" i="31"/>
  <c r="P32" i="31" s="1"/>
  <c r="P77" i="19"/>
  <c r="N77" i="19"/>
  <c r="C32" i="30" s="1"/>
  <c r="Q76" i="19"/>
  <c r="D35" i="29"/>
  <c r="I35" i="29" s="1"/>
  <c r="C31" i="30"/>
  <c r="B75" i="29"/>
  <c r="B118" i="29" s="1"/>
  <c r="Q32" i="19"/>
  <c r="C31" i="27"/>
  <c r="D31" i="27" s="1"/>
  <c r="E31" i="27" s="1"/>
  <c r="B31" i="32" s="1"/>
  <c r="B38" i="19"/>
  <c r="E38" i="19"/>
  <c r="D38" i="19"/>
  <c r="H24" i="29"/>
  <c r="C110" i="29"/>
  <c r="H110" i="29" s="1"/>
  <c r="L76" i="29"/>
  <c r="G119" i="29"/>
  <c r="L119" i="29" s="1"/>
  <c r="F29" i="32"/>
  <c r="R34" i="19"/>
  <c r="F33" i="30"/>
  <c r="G33" i="30" s="1"/>
  <c r="K122" i="18"/>
  <c r="K79" i="19"/>
  <c r="N26" i="32"/>
  <c r="C37" i="19"/>
  <c r="H37" i="19"/>
  <c r="O79" i="19"/>
  <c r="R79" i="19" s="1"/>
  <c r="J79" i="19"/>
  <c r="J122" i="18"/>
  <c r="N35" i="31"/>
  <c r="G80" i="19"/>
  <c r="C36" i="29" s="1"/>
  <c r="H36" i="29" s="1"/>
  <c r="F36" i="19"/>
  <c r="F36" i="29"/>
  <c r="K36" i="29" s="1"/>
  <c r="G36" i="29"/>
  <c r="L36" i="29" s="1"/>
  <c r="B34" i="31"/>
  <c r="J34" i="31"/>
  <c r="B34" i="30"/>
  <c r="H34" i="30" s="1"/>
  <c r="G35" i="19"/>
  <c r="F34" i="31"/>
  <c r="E82" i="19"/>
  <c r="D82" i="19"/>
  <c r="B82" i="19"/>
  <c r="H74" i="29"/>
  <c r="C117" i="29"/>
  <c r="H117" i="29" s="1"/>
  <c r="H25" i="29"/>
  <c r="C111" i="29"/>
  <c r="H111" i="29" s="1"/>
  <c r="E80" i="18"/>
  <c r="C124" i="18"/>
  <c r="M34" i="19"/>
  <c r="C30" i="32"/>
  <c r="J30" i="30"/>
  <c r="B125" i="18"/>
  <c r="C81" i="18"/>
  <c r="D81" i="18"/>
  <c r="F122" i="18"/>
  <c r="K35" i="19"/>
  <c r="J35" i="19"/>
  <c r="O35" i="19"/>
  <c r="I123" i="18"/>
  <c r="J79" i="18"/>
  <c r="K79" i="18"/>
  <c r="L79" i="18"/>
  <c r="I80" i="19"/>
  <c r="N23" i="32"/>
  <c r="B33" i="27"/>
  <c r="B34" i="29"/>
  <c r="C81" i="19"/>
  <c r="F81" i="19" s="1"/>
  <c r="H81" i="19"/>
  <c r="G79" i="18"/>
  <c r="G123" i="18" s="1"/>
  <c r="I36" i="19"/>
  <c r="E123" i="18"/>
  <c r="H79" i="18"/>
  <c r="F79" i="18"/>
  <c r="L79" i="19"/>
  <c r="L122" i="18"/>
  <c r="E35" i="30"/>
  <c r="B82" i="18"/>
  <c r="I74" i="29"/>
  <c r="D117" i="29"/>
  <c r="I117" i="29" s="1"/>
  <c r="P33" i="19"/>
  <c r="N33" i="19"/>
  <c r="K32" i="31"/>
  <c r="L32" i="31" s="1"/>
  <c r="M32" i="31" s="1"/>
  <c r="G32" i="31"/>
  <c r="H32" i="31" s="1"/>
  <c r="I32" i="31" s="1"/>
  <c r="C32" i="31"/>
  <c r="D32" i="31" s="1"/>
  <c r="E32" i="31" s="1"/>
  <c r="H122" i="18"/>
  <c r="L35" i="19"/>
  <c r="I85" i="18" l="1"/>
  <c r="E85" i="18"/>
  <c r="F85" i="18" s="1"/>
  <c r="F41" i="18"/>
  <c r="F42" i="18" s="1"/>
  <c r="K41" i="18"/>
  <c r="K42" i="18" s="1"/>
  <c r="J85" i="18"/>
  <c r="L85" i="18"/>
  <c r="K85" i="18"/>
  <c r="H85" i="18"/>
  <c r="G85" i="18"/>
  <c r="G41" i="18"/>
  <c r="G42" i="18" s="1"/>
  <c r="J41" i="18"/>
  <c r="J42" i="18" s="1"/>
  <c r="L41" i="18"/>
  <c r="L42" i="18" s="1"/>
  <c r="O33" i="31"/>
  <c r="P33" i="31" s="1"/>
  <c r="P78" i="19"/>
  <c r="Q32" i="31"/>
  <c r="E32" i="32" s="1"/>
  <c r="J77" i="29"/>
  <c r="L36" i="19"/>
  <c r="H123" i="18"/>
  <c r="N28" i="32"/>
  <c r="E83" i="19"/>
  <c r="B83" i="19"/>
  <c r="D83" i="19"/>
  <c r="N36" i="31"/>
  <c r="G81" i="19"/>
  <c r="J37" i="29" s="1"/>
  <c r="L80" i="19"/>
  <c r="L123" i="18"/>
  <c r="R35" i="19"/>
  <c r="F34" i="30"/>
  <c r="G34" i="30" s="1"/>
  <c r="D125" i="18"/>
  <c r="I81" i="18"/>
  <c r="D36" i="29"/>
  <c r="I36" i="29" s="1"/>
  <c r="N29" i="32"/>
  <c r="I31" i="30"/>
  <c r="D31" i="30"/>
  <c r="C118" i="29"/>
  <c r="H118" i="29" s="1"/>
  <c r="H75" i="29"/>
  <c r="D39" i="19"/>
  <c r="B39" i="19"/>
  <c r="E39" i="19"/>
  <c r="N34" i="19"/>
  <c r="C33" i="30"/>
  <c r="K33" i="31"/>
  <c r="L33" i="31" s="1"/>
  <c r="M33" i="31" s="1"/>
  <c r="P34" i="19"/>
  <c r="C33" i="31"/>
  <c r="D33" i="31" s="1"/>
  <c r="E33" i="31" s="1"/>
  <c r="G33" i="31"/>
  <c r="H33" i="31" s="1"/>
  <c r="I33" i="31" s="1"/>
  <c r="D118" i="29"/>
  <c r="I118" i="29" s="1"/>
  <c r="I75" i="29"/>
  <c r="B126" i="18"/>
  <c r="C82" i="18"/>
  <c r="D82" i="18"/>
  <c r="K80" i="19"/>
  <c r="K123" i="18"/>
  <c r="M35" i="19"/>
  <c r="C125" i="18"/>
  <c r="E81" i="18"/>
  <c r="K77" i="29"/>
  <c r="F120" i="29"/>
  <c r="K120" i="29" s="1"/>
  <c r="G120" i="29"/>
  <c r="L120" i="29" s="1"/>
  <c r="L77" i="29"/>
  <c r="B35" i="29"/>
  <c r="B34" i="27"/>
  <c r="J36" i="29"/>
  <c r="E36" i="30"/>
  <c r="C38" i="19"/>
  <c r="H38" i="19"/>
  <c r="Q33" i="19"/>
  <c r="C32" i="27"/>
  <c r="D32" i="27" s="1"/>
  <c r="E32" i="27" s="1"/>
  <c r="B32" i="32" s="1"/>
  <c r="B76" i="29"/>
  <c r="B119" i="29" s="1"/>
  <c r="G80" i="18"/>
  <c r="G124" i="18" s="1"/>
  <c r="F80" i="18"/>
  <c r="I37" i="19"/>
  <c r="H80" i="18"/>
  <c r="E124" i="18"/>
  <c r="I32" i="30"/>
  <c r="D32" i="30"/>
  <c r="B83" i="18"/>
  <c r="F123" i="18"/>
  <c r="O36" i="19"/>
  <c r="K36" i="19"/>
  <c r="J36" i="19"/>
  <c r="J80" i="19"/>
  <c r="J123" i="18"/>
  <c r="O80" i="19"/>
  <c r="R80" i="19" s="1"/>
  <c r="C82" i="19"/>
  <c r="F82" i="19" s="1"/>
  <c r="H82" i="19"/>
  <c r="B35" i="30"/>
  <c r="H35" i="30" s="1"/>
  <c r="F35" i="31"/>
  <c r="J35" i="31"/>
  <c r="G36" i="19"/>
  <c r="B35" i="31"/>
  <c r="M79" i="19"/>
  <c r="F37" i="19"/>
  <c r="D37" i="29"/>
  <c r="I37" i="29" s="1"/>
  <c r="G37" i="29"/>
  <c r="L37" i="29" s="1"/>
  <c r="F37" i="29"/>
  <c r="K37" i="29" s="1"/>
  <c r="J75" i="29"/>
  <c r="E118" i="29"/>
  <c r="J118" i="29" s="1"/>
  <c r="Q77" i="19"/>
  <c r="I124" i="18"/>
  <c r="I81" i="19"/>
  <c r="K80" i="18"/>
  <c r="L80" i="18"/>
  <c r="J80" i="18"/>
  <c r="C37" i="29" l="1"/>
  <c r="H37" i="29" s="1"/>
  <c r="E120" i="29"/>
  <c r="J120" i="29" s="1"/>
  <c r="F30" i="32"/>
  <c r="N30" i="32" s="1"/>
  <c r="Q33" i="31"/>
  <c r="E33" i="32" s="1"/>
  <c r="R36" i="19"/>
  <c r="F35" i="30"/>
  <c r="G35" i="30" s="1"/>
  <c r="P35" i="19"/>
  <c r="K34" i="31"/>
  <c r="L34" i="31" s="1"/>
  <c r="M34" i="31" s="1"/>
  <c r="C34" i="31"/>
  <c r="D34" i="31" s="1"/>
  <c r="E34" i="31" s="1"/>
  <c r="N35" i="19"/>
  <c r="G34" i="31"/>
  <c r="H34" i="31" s="1"/>
  <c r="I34" i="31" s="1"/>
  <c r="C33" i="27"/>
  <c r="D33" i="27" s="1"/>
  <c r="E33" i="27" s="1"/>
  <c r="B33" i="32" s="1"/>
  <c r="Q34" i="19"/>
  <c r="B77" i="29"/>
  <c r="B120" i="29" s="1"/>
  <c r="B36" i="29"/>
  <c r="B35" i="27"/>
  <c r="B84" i="19"/>
  <c r="E84" i="19"/>
  <c r="D84" i="19"/>
  <c r="H124" i="18"/>
  <c r="L37" i="19"/>
  <c r="E37" i="30"/>
  <c r="F121" i="29"/>
  <c r="K121" i="29" s="1"/>
  <c r="K78" i="29"/>
  <c r="C126" i="18"/>
  <c r="E82" i="18"/>
  <c r="I125" i="18"/>
  <c r="L81" i="18"/>
  <c r="K81" i="18"/>
  <c r="I82" i="19"/>
  <c r="J81" i="18"/>
  <c r="K124" i="18"/>
  <c r="K81" i="19"/>
  <c r="B84" i="18"/>
  <c r="H76" i="29"/>
  <c r="C119" i="29"/>
  <c r="H119" i="29" s="1"/>
  <c r="J124" i="18"/>
  <c r="J81" i="19"/>
  <c r="O81" i="19"/>
  <c r="R81" i="19" s="1"/>
  <c r="F36" i="31"/>
  <c r="J36" i="31"/>
  <c r="G37" i="19"/>
  <c r="B36" i="30"/>
  <c r="H36" i="30" s="1"/>
  <c r="B36" i="31"/>
  <c r="G82" i="19"/>
  <c r="J38" i="29" s="1"/>
  <c r="N37" i="31"/>
  <c r="M36" i="19"/>
  <c r="B127" i="18"/>
  <c r="D83" i="18"/>
  <c r="C83" i="18"/>
  <c r="J32" i="30"/>
  <c r="C32" i="32"/>
  <c r="F38" i="29"/>
  <c r="K38" i="29" s="1"/>
  <c r="G38" i="29"/>
  <c r="L38" i="29" s="1"/>
  <c r="F38" i="19"/>
  <c r="L78" i="29"/>
  <c r="G121" i="29"/>
  <c r="L121" i="29" s="1"/>
  <c r="J76" i="29"/>
  <c r="E119" i="29"/>
  <c r="J119" i="29" s="1"/>
  <c r="I82" i="18"/>
  <c r="D126" i="18"/>
  <c r="H77" i="29"/>
  <c r="C120" i="29"/>
  <c r="H120" i="29" s="1"/>
  <c r="L124" i="18"/>
  <c r="L81" i="19"/>
  <c r="I76" i="29"/>
  <c r="D119" i="29"/>
  <c r="I119" i="29" s="1"/>
  <c r="P79" i="19"/>
  <c r="N79" i="19"/>
  <c r="C34" i="30" s="1"/>
  <c r="O34" i="31"/>
  <c r="P34" i="31" s="1"/>
  <c r="M80" i="19"/>
  <c r="E40" i="19"/>
  <c r="B40" i="19"/>
  <c r="D40" i="19"/>
  <c r="K37" i="19"/>
  <c r="J37" i="19"/>
  <c r="O37" i="19"/>
  <c r="F124" i="18"/>
  <c r="F81" i="18"/>
  <c r="E125" i="18"/>
  <c r="G81" i="18"/>
  <c r="G125" i="18" s="1"/>
  <c r="H81" i="18"/>
  <c r="I38" i="19"/>
  <c r="I33" i="30"/>
  <c r="D33" i="30"/>
  <c r="H39" i="19"/>
  <c r="C39" i="19"/>
  <c r="J31" i="30"/>
  <c r="C31" i="32"/>
  <c r="I77" i="29"/>
  <c r="D120" i="29"/>
  <c r="I120" i="29" s="1"/>
  <c r="H83" i="19"/>
  <c r="C83" i="19"/>
  <c r="F83" i="19" s="1"/>
  <c r="D38" i="29" l="1"/>
  <c r="I38" i="29" s="1"/>
  <c r="C38" i="29"/>
  <c r="H38" i="29" s="1"/>
  <c r="I34" i="30"/>
  <c r="D34" i="30"/>
  <c r="F39" i="19"/>
  <c r="F39" i="29"/>
  <c r="K39" i="29" s="1"/>
  <c r="G39" i="29"/>
  <c r="L39" i="29" s="1"/>
  <c r="E38" i="30"/>
  <c r="H125" i="18"/>
  <c r="L38" i="19"/>
  <c r="N80" i="19"/>
  <c r="C35" i="30" s="1"/>
  <c r="O35" i="31"/>
  <c r="P35" i="31" s="1"/>
  <c r="P80" i="19"/>
  <c r="D127" i="18"/>
  <c r="I83" i="18"/>
  <c r="L79" i="29"/>
  <c r="G122" i="29"/>
  <c r="L122" i="29" s="1"/>
  <c r="B37" i="29"/>
  <c r="B36" i="27"/>
  <c r="M81" i="19"/>
  <c r="K82" i="19"/>
  <c r="K125" i="18"/>
  <c r="E83" i="18"/>
  <c r="C127" i="18"/>
  <c r="I39" i="19"/>
  <c r="H82" i="18"/>
  <c r="F82" i="18"/>
  <c r="G82" i="18"/>
  <c r="E126" i="18"/>
  <c r="G83" i="19"/>
  <c r="J39" i="29" s="1"/>
  <c r="N38" i="31"/>
  <c r="F31" i="32"/>
  <c r="C33" i="32"/>
  <c r="J33" i="30"/>
  <c r="F36" i="30"/>
  <c r="G36" i="30" s="1"/>
  <c r="R37" i="19"/>
  <c r="C40" i="19"/>
  <c r="H40" i="19"/>
  <c r="B37" i="30"/>
  <c r="H37" i="30" s="1"/>
  <c r="J37" i="31"/>
  <c r="B37" i="31"/>
  <c r="G38" i="19"/>
  <c r="F37" i="31"/>
  <c r="L82" i="19"/>
  <c r="L125" i="18"/>
  <c r="B78" i="29"/>
  <c r="B121" i="29" s="1"/>
  <c r="Q35" i="19"/>
  <c r="C34" i="27"/>
  <c r="D34" i="27" s="1"/>
  <c r="E34" i="27" s="1"/>
  <c r="B34" i="32" s="1"/>
  <c r="O38" i="19"/>
  <c r="K38" i="19"/>
  <c r="F125" i="18"/>
  <c r="J38" i="19"/>
  <c r="I126" i="18"/>
  <c r="I83" i="19"/>
  <c r="L82" i="18"/>
  <c r="K82" i="18"/>
  <c r="J82" i="18"/>
  <c r="P36" i="19"/>
  <c r="K35" i="31"/>
  <c r="L35" i="31" s="1"/>
  <c r="M35" i="31" s="1"/>
  <c r="G35" i="31"/>
  <c r="H35" i="31" s="1"/>
  <c r="I35" i="31" s="1"/>
  <c r="N36" i="19"/>
  <c r="C35" i="31"/>
  <c r="D35" i="31" s="1"/>
  <c r="E35" i="31" s="1"/>
  <c r="M37" i="19"/>
  <c r="Q79" i="19"/>
  <c r="K79" i="29"/>
  <c r="F122" i="29"/>
  <c r="K122" i="29" s="1"/>
  <c r="C84" i="18"/>
  <c r="C86" i="18" s="1"/>
  <c r="D84" i="18"/>
  <c r="D86" i="18" s="1"/>
  <c r="B128" i="18"/>
  <c r="J125" i="18"/>
  <c r="J82" i="19"/>
  <c r="O82" i="19"/>
  <c r="R82" i="19" s="1"/>
  <c r="H84" i="19"/>
  <c r="C84" i="19"/>
  <c r="F84" i="19" s="1"/>
  <c r="Q34" i="31"/>
  <c r="E34" i="32" s="1"/>
  <c r="G126" i="18" l="1"/>
  <c r="C39" i="29"/>
  <c r="H39" i="29" s="1"/>
  <c r="F32" i="32"/>
  <c r="N32" i="32" s="1"/>
  <c r="F33" i="32"/>
  <c r="N39" i="31"/>
  <c r="G84" i="19"/>
  <c r="J40" i="29" s="1"/>
  <c r="B38" i="30"/>
  <c r="H38" i="30" s="1"/>
  <c r="G39" i="19"/>
  <c r="F38" i="31"/>
  <c r="J38" i="31"/>
  <c r="B38" i="31"/>
  <c r="I78" i="29"/>
  <c r="D121" i="29"/>
  <c r="I121" i="29" s="1"/>
  <c r="Q35" i="31"/>
  <c r="E35" i="32" s="1"/>
  <c r="L126" i="18"/>
  <c r="L83" i="19"/>
  <c r="O36" i="31"/>
  <c r="P36" i="31" s="1"/>
  <c r="P81" i="19"/>
  <c r="N81" i="19"/>
  <c r="C36" i="30" s="1"/>
  <c r="Q80" i="19"/>
  <c r="D39" i="29"/>
  <c r="I39" i="29" s="1"/>
  <c r="C128" i="18"/>
  <c r="E84" i="18"/>
  <c r="E86" i="18" s="1"/>
  <c r="K36" i="31"/>
  <c r="L36" i="31" s="1"/>
  <c r="M36" i="31" s="1"/>
  <c r="C36" i="31"/>
  <c r="D36" i="31" s="1"/>
  <c r="E36" i="31" s="1"/>
  <c r="G36" i="31"/>
  <c r="H36" i="31" s="1"/>
  <c r="I36" i="31" s="1"/>
  <c r="P37" i="19"/>
  <c r="N37" i="19"/>
  <c r="B41" i="19"/>
  <c r="K83" i="19"/>
  <c r="K126" i="18"/>
  <c r="J78" i="29"/>
  <c r="E121" i="29"/>
  <c r="J121" i="29" s="1"/>
  <c r="K80" i="29"/>
  <c r="F123" i="29"/>
  <c r="K123" i="29" s="1"/>
  <c r="G123" i="29"/>
  <c r="L123" i="29" s="1"/>
  <c r="L80" i="29"/>
  <c r="C35" i="27"/>
  <c r="D35" i="27" s="1"/>
  <c r="E35" i="27" s="1"/>
  <c r="B35" i="32" s="1"/>
  <c r="Q36" i="19"/>
  <c r="B79" i="29"/>
  <c r="B122" i="29" s="1"/>
  <c r="B85" i="19"/>
  <c r="B37" i="27"/>
  <c r="B38" i="29"/>
  <c r="E39" i="30"/>
  <c r="F126" i="18"/>
  <c r="J39" i="19"/>
  <c r="K39" i="19"/>
  <c r="O39" i="19"/>
  <c r="F83" i="18"/>
  <c r="E127" i="18"/>
  <c r="G83" i="18"/>
  <c r="G127" i="18" s="1"/>
  <c r="H83" i="18"/>
  <c r="I40" i="19"/>
  <c r="I84" i="19"/>
  <c r="J83" i="18"/>
  <c r="I127" i="18"/>
  <c r="L83" i="18"/>
  <c r="K83" i="18"/>
  <c r="J34" i="30"/>
  <c r="C34" i="32"/>
  <c r="M38" i="19"/>
  <c r="N31" i="32"/>
  <c r="M82" i="19"/>
  <c r="D128" i="18"/>
  <c r="I84" i="18"/>
  <c r="I86" i="18" s="1"/>
  <c r="C121" i="29"/>
  <c r="H121" i="29" s="1"/>
  <c r="H78" i="29"/>
  <c r="I35" i="30"/>
  <c r="D35" i="30"/>
  <c r="J83" i="19"/>
  <c r="J126" i="18"/>
  <c r="O83" i="19"/>
  <c r="R83" i="19" s="1"/>
  <c r="R38" i="19"/>
  <c r="F37" i="30"/>
  <c r="G37" i="30" s="1"/>
  <c r="G40" i="29"/>
  <c r="L40" i="29" s="1"/>
  <c r="F40" i="19"/>
  <c r="F40" i="29"/>
  <c r="K40" i="29" s="1"/>
  <c r="H126" i="18"/>
  <c r="L39" i="19"/>
  <c r="C40" i="29" l="1"/>
  <c r="H40" i="29" s="1"/>
  <c r="N33" i="32"/>
  <c r="K84" i="18"/>
  <c r="K86" i="18" s="1"/>
  <c r="I128" i="18"/>
  <c r="I85" i="19"/>
  <c r="L84" i="18"/>
  <c r="L86" i="18" s="1"/>
  <c r="J84" i="18"/>
  <c r="J86" i="18" s="1"/>
  <c r="R39" i="19"/>
  <c r="F38" i="30"/>
  <c r="G38" i="30" s="1"/>
  <c r="D85" i="19"/>
  <c r="H41" i="19"/>
  <c r="C41" i="19"/>
  <c r="I36" i="30"/>
  <c r="D36" i="30"/>
  <c r="B39" i="29"/>
  <c r="B38" i="27"/>
  <c r="D40" i="29"/>
  <c r="I40" i="29" s="1"/>
  <c r="F124" i="29"/>
  <c r="K124" i="29" s="1"/>
  <c r="K81" i="29"/>
  <c r="J84" i="19"/>
  <c r="O84" i="19"/>
  <c r="R84" i="19" s="1"/>
  <c r="J127" i="18"/>
  <c r="D41" i="19"/>
  <c r="C122" i="29"/>
  <c r="H122" i="29" s="1"/>
  <c r="H79" i="29"/>
  <c r="Q81" i="19"/>
  <c r="M83" i="19"/>
  <c r="P82" i="19"/>
  <c r="N82" i="19"/>
  <c r="C37" i="30" s="1"/>
  <c r="O37" i="31"/>
  <c r="P37" i="31" s="1"/>
  <c r="K84" i="19"/>
  <c r="K127" i="18"/>
  <c r="M39" i="19"/>
  <c r="E85" i="19"/>
  <c r="Q36" i="31"/>
  <c r="E36" i="32" s="1"/>
  <c r="H84" i="18"/>
  <c r="H86" i="18" s="1"/>
  <c r="I41" i="19"/>
  <c r="F84" i="18"/>
  <c r="F86" i="18" s="1"/>
  <c r="G84" i="18"/>
  <c r="G86" i="18" s="1"/>
  <c r="E128" i="18"/>
  <c r="I79" i="29"/>
  <c r="D122" i="29"/>
  <c r="I122" i="29" s="1"/>
  <c r="J39" i="31"/>
  <c r="G40" i="19"/>
  <c r="F39" i="31"/>
  <c r="B39" i="30"/>
  <c r="H39" i="30" s="1"/>
  <c r="B39" i="31"/>
  <c r="J35" i="30"/>
  <c r="C35" i="32"/>
  <c r="N38" i="19"/>
  <c r="P38" i="19"/>
  <c r="K37" i="31"/>
  <c r="L37" i="31" s="1"/>
  <c r="M37" i="31" s="1"/>
  <c r="C37" i="31"/>
  <c r="D37" i="31" s="1"/>
  <c r="E37" i="31" s="1"/>
  <c r="G37" i="31"/>
  <c r="H37" i="31" s="1"/>
  <c r="I37" i="31" s="1"/>
  <c r="L81" i="29"/>
  <c r="G124" i="29"/>
  <c r="L124" i="29" s="1"/>
  <c r="L127" i="18"/>
  <c r="L84" i="19"/>
  <c r="J40" i="19"/>
  <c r="K40" i="19"/>
  <c r="F127" i="18"/>
  <c r="O40" i="19"/>
  <c r="C85" i="19"/>
  <c r="H85" i="19"/>
  <c r="E41" i="19"/>
  <c r="C36" i="27"/>
  <c r="D36" i="27" s="1"/>
  <c r="E36" i="27" s="1"/>
  <c r="B36" i="32" s="1"/>
  <c r="Q37" i="19"/>
  <c r="B80" i="29"/>
  <c r="B123" i="29" s="1"/>
  <c r="E122" i="29"/>
  <c r="J122" i="29" s="1"/>
  <c r="J79" i="29"/>
  <c r="L40" i="19"/>
  <c r="H127" i="18"/>
  <c r="F34" i="32" l="1"/>
  <c r="N34" i="32" s="1"/>
  <c r="D37" i="30"/>
  <c r="I37" i="30"/>
  <c r="Q37" i="31"/>
  <c r="E37" i="32" s="1"/>
  <c r="Q38" i="19"/>
  <c r="C37" i="27"/>
  <c r="D37" i="27" s="1"/>
  <c r="E37" i="27" s="1"/>
  <c r="B37" i="32" s="1"/>
  <c r="B81" i="29"/>
  <c r="B124" i="29" s="1"/>
  <c r="G128" i="18"/>
  <c r="G125" i="29"/>
  <c r="L125" i="29" s="1"/>
  <c r="L82" i="29"/>
  <c r="O38" i="31"/>
  <c r="P38" i="31" s="1"/>
  <c r="P83" i="19"/>
  <c r="N83" i="19"/>
  <c r="C38" i="30" s="1"/>
  <c r="F41" i="19"/>
  <c r="G41" i="29"/>
  <c r="G43" i="29" s="1"/>
  <c r="F41" i="29"/>
  <c r="F43" i="29" s="1"/>
  <c r="L85" i="19"/>
  <c r="L87" i="19" s="1"/>
  <c r="L128" i="18"/>
  <c r="K41" i="19"/>
  <c r="K43" i="19" s="1"/>
  <c r="J41" i="19"/>
  <c r="J43" i="19" s="1"/>
  <c r="O41" i="19"/>
  <c r="O43" i="19" s="1"/>
  <c r="F128" i="18"/>
  <c r="K82" i="29"/>
  <c r="F125" i="29"/>
  <c r="K125" i="29" s="1"/>
  <c r="E123" i="29"/>
  <c r="J123" i="29" s="1"/>
  <c r="J80" i="29"/>
  <c r="C36" i="32"/>
  <c r="J36" i="30"/>
  <c r="E40" i="30"/>
  <c r="F85" i="19"/>
  <c r="M40" i="19"/>
  <c r="B39" i="27"/>
  <c r="B40" i="29"/>
  <c r="Q82" i="19"/>
  <c r="H80" i="29"/>
  <c r="C123" i="29"/>
  <c r="H123" i="29" s="1"/>
  <c r="R40" i="19"/>
  <c r="F39" i="30"/>
  <c r="G39" i="30" s="1"/>
  <c r="H128" i="18"/>
  <c r="L41" i="19"/>
  <c r="L43" i="19" s="1"/>
  <c r="K38" i="31"/>
  <c r="L38" i="31" s="1"/>
  <c r="M38" i="31" s="1"/>
  <c r="P39" i="19"/>
  <c r="G38" i="31"/>
  <c r="H38" i="31" s="1"/>
  <c r="I38" i="31" s="1"/>
  <c r="N39" i="19"/>
  <c r="C38" i="31"/>
  <c r="D38" i="31" s="1"/>
  <c r="E38" i="31" s="1"/>
  <c r="I80" i="29"/>
  <c r="D123" i="29"/>
  <c r="I123" i="29" s="1"/>
  <c r="M84" i="19"/>
  <c r="J128" i="18"/>
  <c r="J85" i="19"/>
  <c r="J87" i="19" s="1"/>
  <c r="O85" i="19"/>
  <c r="O87" i="19" s="1"/>
  <c r="K128" i="18"/>
  <c r="K85" i="19"/>
  <c r="K87" i="19" s="1"/>
  <c r="E42" i="30" l="1"/>
  <c r="E45" i="30" s="1"/>
  <c r="Q38" i="31"/>
  <c r="E38" i="32" s="1"/>
  <c r="F35" i="32"/>
  <c r="C38" i="27"/>
  <c r="D38" i="27" s="1"/>
  <c r="E38" i="27" s="1"/>
  <c r="B38" i="32" s="1"/>
  <c r="B82" i="29"/>
  <c r="B125" i="29" s="1"/>
  <c r="Q39" i="19"/>
  <c r="I38" i="30"/>
  <c r="D38" i="30"/>
  <c r="H81" i="29"/>
  <c r="C124" i="29"/>
  <c r="H124" i="29" s="1"/>
  <c r="F40" i="30"/>
  <c r="F42" i="30" s="1"/>
  <c r="R41" i="19"/>
  <c r="R43" i="19" s="1"/>
  <c r="L41" i="29"/>
  <c r="L43" i="29" s="1"/>
  <c r="R85" i="19"/>
  <c r="R87" i="19" s="1"/>
  <c r="I81" i="29"/>
  <c r="D124" i="29"/>
  <c r="I124" i="29" s="1"/>
  <c r="M41" i="19"/>
  <c r="M43" i="19" s="1"/>
  <c r="G86" i="29"/>
  <c r="F86" i="29"/>
  <c r="M85" i="19"/>
  <c r="M87" i="19" s="1"/>
  <c r="F126" i="29"/>
  <c r="K126" i="29" s="1"/>
  <c r="K83" i="29"/>
  <c r="K41" i="29"/>
  <c r="K43" i="29" s="1"/>
  <c r="G41" i="19"/>
  <c r="F40" i="31"/>
  <c r="J40" i="31"/>
  <c r="B40" i="31"/>
  <c r="J81" i="29"/>
  <c r="E124" i="29"/>
  <c r="J124" i="29" s="1"/>
  <c r="N40" i="19"/>
  <c r="P40" i="19"/>
  <c r="C39" i="31"/>
  <c r="D39" i="31" s="1"/>
  <c r="E39" i="31" s="1"/>
  <c r="G39" i="31"/>
  <c r="H39" i="31" s="1"/>
  <c r="I39" i="31" s="1"/>
  <c r="K39" i="31"/>
  <c r="L39" i="31" s="1"/>
  <c r="M39" i="31" s="1"/>
  <c r="Q83" i="19"/>
  <c r="P84" i="19"/>
  <c r="O39" i="31"/>
  <c r="P39" i="31" s="1"/>
  <c r="N84" i="19"/>
  <c r="L83" i="29"/>
  <c r="G126" i="29"/>
  <c r="L126" i="29" s="1"/>
  <c r="G85" i="19"/>
  <c r="N40" i="31"/>
  <c r="J37" i="30"/>
  <c r="C37" i="32"/>
  <c r="F36" i="32" l="1"/>
  <c r="N36" i="32" s="1"/>
  <c r="N35" i="32"/>
  <c r="Q39" i="31"/>
  <c r="E39" i="32" s="1"/>
  <c r="Q84" i="19"/>
  <c r="N41" i="19"/>
  <c r="N43" i="19" s="1"/>
  <c r="P41" i="19"/>
  <c r="P43" i="19" s="1"/>
  <c r="K40" i="31"/>
  <c r="K42" i="31" s="1"/>
  <c r="G40" i="31"/>
  <c r="G42" i="31" s="1"/>
  <c r="C40" i="31"/>
  <c r="C42" i="31" s="1"/>
  <c r="G40" i="30"/>
  <c r="F45" i="30"/>
  <c r="D41" i="29"/>
  <c r="D43" i="29" s="1"/>
  <c r="E43" i="29"/>
  <c r="C41" i="29"/>
  <c r="C43" i="29" s="1"/>
  <c r="B40" i="30"/>
  <c r="B42" i="30" s="1"/>
  <c r="H82" i="29"/>
  <c r="C125" i="29"/>
  <c r="H125" i="29" s="1"/>
  <c r="C39" i="30"/>
  <c r="I82" i="29"/>
  <c r="D125" i="29"/>
  <c r="I125" i="29" s="1"/>
  <c r="P85" i="19"/>
  <c r="P87" i="19" s="1"/>
  <c r="O40" i="31"/>
  <c r="O42" i="31" s="1"/>
  <c r="N85" i="19"/>
  <c r="N87" i="19" s="1"/>
  <c r="E125" i="29"/>
  <c r="J125" i="29" s="1"/>
  <c r="J82" i="29"/>
  <c r="Q40" i="19"/>
  <c r="C39" i="27"/>
  <c r="D39" i="27" s="1"/>
  <c r="E39" i="27" s="1"/>
  <c r="B39" i="32" s="1"/>
  <c r="B83" i="29"/>
  <c r="B126" i="29" s="1"/>
  <c r="B41" i="29"/>
  <c r="B43" i="29" s="1"/>
  <c r="B40" i="27"/>
  <c r="B42" i="27" s="1"/>
  <c r="K84" i="29"/>
  <c r="K86" i="29" s="1"/>
  <c r="F127" i="29"/>
  <c r="F129" i="29" s="1"/>
  <c r="L84" i="29"/>
  <c r="L86" i="29" s="1"/>
  <c r="G127" i="29"/>
  <c r="G129" i="29" s="1"/>
  <c r="C38" i="32"/>
  <c r="J38" i="30"/>
  <c r="G42" i="30" l="1"/>
  <c r="G45" i="30" s="1"/>
  <c r="Q85" i="19"/>
  <c r="Q87" i="19" s="1"/>
  <c r="D86" i="29"/>
  <c r="C86" i="29"/>
  <c r="E86" i="29"/>
  <c r="I41" i="29"/>
  <c r="I43" i="29" s="1"/>
  <c r="L40" i="31"/>
  <c r="L42" i="31" s="1"/>
  <c r="D126" i="29"/>
  <c r="I126" i="29" s="1"/>
  <c r="I83" i="29"/>
  <c r="C126" i="29"/>
  <c r="H126" i="29" s="1"/>
  <c r="H83" i="29"/>
  <c r="K127" i="29"/>
  <c r="K129" i="29" s="1"/>
  <c r="P40" i="31"/>
  <c r="P42" i="31" s="1"/>
  <c r="F37" i="32"/>
  <c r="H40" i="30"/>
  <c r="C40" i="30"/>
  <c r="C42" i="30" s="1"/>
  <c r="J83" i="29"/>
  <c r="E126" i="29"/>
  <c r="J126" i="29" s="1"/>
  <c r="J41" i="29"/>
  <c r="J43" i="29" s="1"/>
  <c r="H40" i="31"/>
  <c r="H42" i="31" s="1"/>
  <c r="L127" i="29"/>
  <c r="L129" i="29" s="1"/>
  <c r="I39" i="30"/>
  <c r="D39" i="30"/>
  <c r="H41" i="29"/>
  <c r="H43" i="29" s="1"/>
  <c r="D40" i="31"/>
  <c r="D42" i="31" s="1"/>
  <c r="B84" i="29"/>
  <c r="B86" i="29" s="1"/>
  <c r="C40" i="27"/>
  <c r="C42" i="27" s="1"/>
  <c r="Q41" i="19"/>
  <c r="Q43" i="19" s="1"/>
  <c r="F38" i="32" l="1"/>
  <c r="B127" i="29"/>
  <c r="B129" i="29" s="1"/>
  <c r="I40" i="30"/>
  <c r="D40" i="30"/>
  <c r="D42" i="30" s="1"/>
  <c r="C39" i="32"/>
  <c r="J39" i="30"/>
  <c r="H42" i="30"/>
  <c r="H45" i="30" s="1"/>
  <c r="B45" i="30"/>
  <c r="E127" i="29"/>
  <c r="E129" i="29" s="1"/>
  <c r="J84" i="29"/>
  <c r="J86" i="29" s="1"/>
  <c r="E40" i="31"/>
  <c r="E42" i="31" s="1"/>
  <c r="M40" i="31"/>
  <c r="M42" i="31" s="1"/>
  <c r="C127" i="29"/>
  <c r="C129" i="29" s="1"/>
  <c r="H84" i="29"/>
  <c r="H86" i="29" s="1"/>
  <c r="D40" i="27"/>
  <c r="D42" i="27" s="1"/>
  <c r="I40" i="31"/>
  <c r="I42" i="31" s="1"/>
  <c r="N37" i="32"/>
  <c r="D127" i="29"/>
  <c r="D129" i="29" s="1"/>
  <c r="I84" i="29"/>
  <c r="I86" i="29" s="1"/>
  <c r="N38" i="32" l="1"/>
  <c r="E40" i="27"/>
  <c r="E42" i="27" s="1"/>
  <c r="I127" i="29"/>
  <c r="I129" i="29" s="1"/>
  <c r="F39" i="32"/>
  <c r="H127" i="29"/>
  <c r="H129" i="29" s="1"/>
  <c r="Q40" i="31"/>
  <c r="Q42" i="31" s="1"/>
  <c r="C40" i="32"/>
  <c r="C42" i="32" s="1"/>
  <c r="J40" i="30"/>
  <c r="J127" i="29"/>
  <c r="J129" i="29" s="1"/>
  <c r="C45" i="30"/>
  <c r="I42" i="30"/>
  <c r="I45" i="30" s="1"/>
  <c r="D15" i="34" l="1"/>
  <c r="N39" i="32"/>
  <c r="D45" i="30"/>
  <c r="J42" i="30"/>
  <c r="J45" i="30" s="1"/>
  <c r="E40" i="32"/>
  <c r="B40" i="32"/>
  <c r="B42" i="32" s="1"/>
  <c r="F42" i="27"/>
  <c r="J42" i="32" l="1"/>
  <c r="C15" i="34" s="1"/>
  <c r="F41" i="32"/>
  <c r="F42" i="32" s="1"/>
  <c r="C16" i="34"/>
  <c r="D16" i="34"/>
  <c r="F40" i="32"/>
  <c r="D14" i="34"/>
  <c r="C17" i="34"/>
  <c r="D17" i="34"/>
  <c r="I42" i="32" l="1"/>
  <c r="C14" i="34" s="1"/>
  <c r="N41" i="32"/>
  <c r="G42" i="32"/>
  <c r="N40" i="32"/>
  <c r="D18" i="34"/>
  <c r="N42" i="32" l="1"/>
  <c r="C24" i="34"/>
  <c r="C23" i="34"/>
  <c r="N43" i="32"/>
  <c r="C18" i="34"/>
  <c r="I8" i="34" l="1"/>
  <c r="I6" i="34"/>
  <c r="I7" i="34"/>
</calcChain>
</file>

<file path=xl/sharedStrings.xml><?xml version="1.0" encoding="utf-8"?>
<sst xmlns="http://schemas.openxmlformats.org/spreadsheetml/2006/main" count="694" uniqueCount="396">
  <si>
    <t>Safety</t>
  </si>
  <si>
    <t>Total</t>
  </si>
  <si>
    <t>Year</t>
  </si>
  <si>
    <t>Truck</t>
  </si>
  <si>
    <t>Value</t>
  </si>
  <si>
    <t>Unit</t>
  </si>
  <si>
    <t>per fatality</t>
  </si>
  <si>
    <t>$Year</t>
  </si>
  <si>
    <t>Value of Injuries</t>
  </si>
  <si>
    <t>AIS 1</t>
  </si>
  <si>
    <t>AIS 2</t>
  </si>
  <si>
    <t>AIS Level</t>
  </si>
  <si>
    <t>Severity</t>
  </si>
  <si>
    <t>Fraction of VSL</t>
  </si>
  <si>
    <t>AIS 3</t>
  </si>
  <si>
    <t>AIS 4</t>
  </si>
  <si>
    <t>AIS 5</t>
  </si>
  <si>
    <t>AIS 6</t>
  </si>
  <si>
    <t>Minor</t>
  </si>
  <si>
    <t>Moderate</t>
  </si>
  <si>
    <t>Serious</t>
  </si>
  <si>
    <t>Severe</t>
  </si>
  <si>
    <t>Critical</t>
  </si>
  <si>
    <t>Not survivable</t>
  </si>
  <si>
    <t>Value of Statistical Life (VSL)</t>
  </si>
  <si>
    <t>Property Damage Only (PDO) Crashes</t>
  </si>
  <si>
    <t>per vehicle</t>
  </si>
  <si>
    <t>Value of Travel Time</t>
  </si>
  <si>
    <t>Category</t>
  </si>
  <si>
    <t>Air and High-Speed Rail Travel</t>
  </si>
  <si>
    <t>Local Travel</t>
  </si>
  <si>
    <t>Personal</t>
  </si>
  <si>
    <t>Business</t>
  </si>
  <si>
    <t>Truck Drivers</t>
  </si>
  <si>
    <t>Bus Drivers</t>
  </si>
  <si>
    <t>Transit Rail Operators</t>
  </si>
  <si>
    <t>Locomotive Engineers</t>
  </si>
  <si>
    <t>Surface Modes (except high-speed rail) *</t>
  </si>
  <si>
    <t>Value of Emissions</t>
  </si>
  <si>
    <t>Emission Type</t>
  </si>
  <si>
    <t>Carbon dioxide (CO2)</t>
  </si>
  <si>
    <t>Volatile Organic Compounds (VOCs)</t>
  </si>
  <si>
    <t>Nitrogen Oxides (NOx)</t>
  </si>
  <si>
    <t>Social Cost of Carbon (3%)</t>
  </si>
  <si>
    <t>Data Source:</t>
  </si>
  <si>
    <t>Sulfur dioxide (SOx)</t>
  </si>
  <si>
    <t>Total of Monetized Benefits</t>
  </si>
  <si>
    <t>Costs Evaluation</t>
  </si>
  <si>
    <t>Benefit Cost Ratio</t>
  </si>
  <si>
    <t>Total Benefits</t>
  </si>
  <si>
    <t>tons</t>
  </si>
  <si>
    <t>ton-miles/gallon</t>
  </si>
  <si>
    <t>Average Loaded Truck Weight:</t>
  </si>
  <si>
    <t>Source:</t>
  </si>
  <si>
    <t>Pricing Freight Transport to Account for External Costs, Congressional Budget Office Working Paper 2015-03, March 2015.  0.74-0.96 cents per truck ton-mile</t>
  </si>
  <si>
    <t>CO</t>
  </si>
  <si>
    <t>VOC</t>
  </si>
  <si>
    <t>Emissions Tables</t>
  </si>
  <si>
    <t>HIGHWAY EMISSIONS FACTORS (g/mi)</t>
  </si>
  <si>
    <t>Mode</t>
  </si>
  <si>
    <t>Speed</t>
  </si>
  <si>
    <t>CO2</t>
  </si>
  <si>
    <t>NOX</t>
  </si>
  <si>
    <t>SOX</t>
  </si>
  <si>
    <t>See Tab 'Emissions'</t>
  </si>
  <si>
    <t>Net Reduction in Volatile Organic Compounds (VOCs) (Metric Tons)</t>
  </si>
  <si>
    <t>Net Reduction in Nitrogen Oxides (NOx) (Metric Tons)</t>
  </si>
  <si>
    <t>Single-Unit Truck</t>
  </si>
  <si>
    <t>Combination Truck</t>
  </si>
  <si>
    <t>Heavy Trucks Crash Rates</t>
  </si>
  <si>
    <t xml:space="preserve">Source: </t>
  </si>
  <si>
    <t>VMT</t>
  </si>
  <si>
    <t>VMT Share</t>
  </si>
  <si>
    <t>Average Total</t>
  </si>
  <si>
    <t>Value of Avoided Pavement Damage ($2014)</t>
  </si>
  <si>
    <t>Avoided Truck VMT (miles)</t>
  </si>
  <si>
    <t>Avoided Truck Driver Travel Time (hours)</t>
  </si>
  <si>
    <t>Changes between with and without Scenarios</t>
  </si>
  <si>
    <t>Years</t>
  </si>
  <si>
    <t>CAGR</t>
  </si>
  <si>
    <t>Emission factors:</t>
  </si>
  <si>
    <t>(varies)</t>
  </si>
  <si>
    <t>All purposes</t>
  </si>
  <si>
    <t>State of Good Repair</t>
  </si>
  <si>
    <t>Economic Competitiveness</t>
  </si>
  <si>
    <t>per truck ton-mile</t>
  </si>
  <si>
    <t>per VMT</t>
  </si>
  <si>
    <t>Emission Factor Projections for Trucks Traveling at 68 mph</t>
  </si>
  <si>
    <t>Monetized Values and Conversion Factors Used in the Analysis</t>
  </si>
  <si>
    <t>per hour</t>
  </si>
  <si>
    <t>Pavement Damage</t>
  </si>
  <si>
    <t>Truck Operating Costs</t>
  </si>
  <si>
    <t>Truck Driver Travel Time</t>
  </si>
  <si>
    <t>Truck Fuel Consumption</t>
  </si>
  <si>
    <t>Net Reduction in Diesel Consumption (Gallons)</t>
  </si>
  <si>
    <t>Number of Fatalities, Injuries, and PDO Crashes</t>
  </si>
  <si>
    <t>See Tab 'Safety'</t>
  </si>
  <si>
    <t>Truck Flow with and without Project</t>
  </si>
  <si>
    <t>Truck Flow with Project</t>
  </si>
  <si>
    <t>Truck Flow without Project</t>
  </si>
  <si>
    <t>Without Project:</t>
  </si>
  <si>
    <t>With Project :</t>
  </si>
  <si>
    <t>TEU to Truck and Rail Conversion Factors</t>
  </si>
  <si>
    <t>TEUs to Trucks</t>
  </si>
  <si>
    <t>TEUs per Truck</t>
  </si>
  <si>
    <t>TEUs to Railcar</t>
  </si>
  <si>
    <t>Railcar to Train</t>
  </si>
  <si>
    <t>Source</t>
  </si>
  <si>
    <t>Market Assessment</t>
  </si>
  <si>
    <t>With Project</t>
  </si>
  <si>
    <t>Without Project</t>
  </si>
  <si>
    <t>Average Rail Distance</t>
  </si>
  <si>
    <t>Average Rail Speed</t>
  </si>
  <si>
    <t>Average Rail Travel Time</t>
  </si>
  <si>
    <t>Average Travel Speed (mile/hour)</t>
  </si>
  <si>
    <t>Average Truck Distance (mile)</t>
  </si>
  <si>
    <t>Average Truck Travel Time (mins)</t>
  </si>
  <si>
    <t>Estimated Annual Truck Trips Generated by the Project</t>
  </si>
  <si>
    <t>Estimated Annual Train Trips Generated by the Project</t>
  </si>
  <si>
    <t>Rail Flow with and without Project</t>
  </si>
  <si>
    <t>Rail Flow with Project</t>
  </si>
  <si>
    <t>Rail Flow without Project</t>
  </si>
  <si>
    <t>Avoided Rail VMT (miles)</t>
  </si>
  <si>
    <t>Avoided Rail Ton-miles (ton-miles)</t>
  </si>
  <si>
    <t>Avoided Truck Ton-miles (ton-miles)</t>
  </si>
  <si>
    <t>Rail</t>
  </si>
  <si>
    <t>per rail ton-mile</t>
  </si>
  <si>
    <t>Notes: 1) Zero mph corresponds to starts, 2) Other emissions factors include idling emissions and exclude diurnal and evaporative emissions, 3) Five mph is best estimate for idling</t>
  </si>
  <si>
    <t>South Florida</t>
  </si>
  <si>
    <t>Central Florida</t>
  </si>
  <si>
    <t>Market Share</t>
  </si>
  <si>
    <t>TEUs Impacted by the Project</t>
  </si>
  <si>
    <t>Truck TEUs</t>
  </si>
  <si>
    <t>Rail TEUs</t>
  </si>
  <si>
    <t xml:space="preserve">Estimated Annual Truck Trips Generated by the Project - South Florida </t>
  </si>
  <si>
    <t>Estimated Annual Truck Trips Generated by the Project - Central Florida</t>
  </si>
  <si>
    <t xml:space="preserve">Estimated Annual Rail Trips Generated by the Project - South Florida </t>
  </si>
  <si>
    <t>Estimated Annual Rail Trips Generated by the Project - Central Florida</t>
  </si>
  <si>
    <t>Estimated Annual Truck Trips Generated by the Project - Southeastern US</t>
  </si>
  <si>
    <t>Estimated Annual Rail Trips Generated by the Project - Southeastern US</t>
  </si>
  <si>
    <t>Southeastern US</t>
  </si>
  <si>
    <t>Estimated Annual Truck Trips Generated without the Project</t>
  </si>
  <si>
    <t xml:space="preserve">Estimated Annual Truck Trips Generated without  the Project - South Florida </t>
  </si>
  <si>
    <t>Estimated Annual Truck Trips Generated without  the Project - Central Florida</t>
  </si>
  <si>
    <t>Estimated Annual Truck Trips Generated without  the Project - Southeastern US</t>
  </si>
  <si>
    <t>Estimated Annual Train Trips Generated without  the Project</t>
  </si>
  <si>
    <t xml:space="preserve">Estimated Annual Rail Trips Generated without  the Project - South Florida </t>
  </si>
  <si>
    <t>Estimated Annual Rail Trips Generated without  the Project - Central Florida</t>
  </si>
  <si>
    <t>Estimated Annual Rail Trips Generated without  the Project - Southeastern US</t>
  </si>
  <si>
    <t>South Florida*</t>
  </si>
  <si>
    <t>Central Florida*</t>
  </si>
  <si>
    <t>*No trains are anticipated to serve South or Central Florida via this project, default values set to 0</t>
  </si>
  <si>
    <t>Total Truck VMT with Project</t>
  </si>
  <si>
    <t>Truck VMT with Project - South Florida</t>
  </si>
  <si>
    <t>Truck VMT with Project - Central Florida</t>
  </si>
  <si>
    <t>Truck VMT with Project - Southeastern US</t>
  </si>
  <si>
    <t>Total Truck Trips with Project</t>
  </si>
  <si>
    <t>Truck VMT without Project - South Florida</t>
  </si>
  <si>
    <t>Truck VMT without Project - Central Florida</t>
  </si>
  <si>
    <t>Truck VMT without Project - Southeastern US</t>
  </si>
  <si>
    <t>Fatalities per Truck VMT</t>
  </si>
  <si>
    <t>Injuries per Truck VMT</t>
  </si>
  <si>
    <t>Property Damage Only Crashes per Truck VMT</t>
  </si>
  <si>
    <t>Per 100-million train-miles</t>
  </si>
  <si>
    <t>Fatalities</t>
  </si>
  <si>
    <t>Injuries</t>
  </si>
  <si>
    <t>Accidents</t>
  </si>
  <si>
    <t>Per train-mile</t>
  </si>
  <si>
    <t>Note: This excludes highway-rail grade-crossings accidents and there is no identification of Property Damage Only Crashes</t>
  </si>
  <si>
    <t>Property Damage (current $ million)</t>
  </si>
  <si>
    <t>Train Miles (millions)</t>
  </si>
  <si>
    <t>Intermodal Freight Connector Project</t>
  </si>
  <si>
    <t>Rail VMT with Project - South Florida</t>
  </si>
  <si>
    <t>Rail VMT with Project - Central Florida</t>
  </si>
  <si>
    <t>Rail VMT with Project - Southeastern US</t>
  </si>
  <si>
    <t>Rail VMT without Project - South Florida</t>
  </si>
  <si>
    <t>Rail VMT without Project - Central Florida</t>
  </si>
  <si>
    <t>Rail VMT without Project - Southeastern US</t>
  </si>
  <si>
    <t>South Florida - Without Project</t>
  </si>
  <si>
    <t>Truck Distance (miles)</t>
  </si>
  <si>
    <t>Truck Travel Time (minutes)</t>
  </si>
  <si>
    <t>Average Truck Speed (mile/hour)</t>
  </si>
  <si>
    <t>Share of Market</t>
  </si>
  <si>
    <t>Rail Distance (miles)</t>
  </si>
  <si>
    <t>Rail Travel Time (minutes)</t>
  </si>
  <si>
    <t>Average Rail Speed (mile/hour)</t>
  </si>
  <si>
    <t>Average</t>
  </si>
  <si>
    <t>Port Utilized - Truck</t>
  </si>
  <si>
    <t>Port Utilized - Rail</t>
  </si>
  <si>
    <t>Central Florida - Without Project</t>
  </si>
  <si>
    <t>Southeastern US - Without Project</t>
  </si>
  <si>
    <t>Truck Driver Travel Time without Project (hours)</t>
  </si>
  <si>
    <t>Value of Time</t>
  </si>
  <si>
    <t>Locomotive Engineer</t>
  </si>
  <si>
    <t>TEUs per Railcar</t>
  </si>
  <si>
    <t>Railcar per Train</t>
  </si>
  <si>
    <t>Rail Fuel Consumption</t>
  </si>
  <si>
    <t>revenue ton-miles/gallon</t>
  </si>
  <si>
    <t>Average Loaded Railcar</t>
  </si>
  <si>
    <t>Jacksonville</t>
  </si>
  <si>
    <t>Los Angeles/Long Beach</t>
  </si>
  <si>
    <t>Miami</t>
  </si>
  <si>
    <t>New York/New Jersey</t>
  </si>
  <si>
    <t>Savannah</t>
  </si>
  <si>
    <t>Truck Distance Source: Google Maps</t>
  </si>
  <si>
    <t>Freight Rail Speed: JOC, January 2016</t>
  </si>
  <si>
    <t>Truck Time Source: Google Maps, FHWA</t>
  </si>
  <si>
    <t>Freight Rail Distance: Set equal to truck with the exception of LA/LB to account for transfer in Kansas City</t>
  </si>
  <si>
    <t>PM2.5</t>
  </si>
  <si>
    <t>Rail Operating Costs</t>
  </si>
  <si>
    <t>Class I Railroad Statistics, 2016</t>
  </si>
  <si>
    <t>Sustainability</t>
  </si>
  <si>
    <t>Emission Factor Projections for Trucks Traveling at 54 mph</t>
  </si>
  <si>
    <t>Emission Factor Projections for Trucks Traveling at 69 mph</t>
  </si>
  <si>
    <t>Port Everglades</t>
  </si>
  <si>
    <t>per ton-mile</t>
  </si>
  <si>
    <t>Pavement Damage with Project ($2014)</t>
  </si>
  <si>
    <t>Pavement Damage Without Project ($2014)</t>
  </si>
  <si>
    <t>Google</t>
  </si>
  <si>
    <t>Based on maximum vehicle operating weight less a 5% discount</t>
  </si>
  <si>
    <t>50% use of double stacked rail cars</t>
  </si>
  <si>
    <t>Industry standard to operate with FEU</t>
  </si>
  <si>
    <t>Annually</t>
  </si>
  <si>
    <t>Net Reduction in Sulfur Dioxide (SOx) (Metric Tons)</t>
  </si>
  <si>
    <t>Economic Competitiveness (US)</t>
  </si>
  <si>
    <t>State of Good Repair (US)</t>
  </si>
  <si>
    <t>Mode Split</t>
  </si>
  <si>
    <t>With Project Market Mode Split</t>
  </si>
  <si>
    <t>With Project Market Share</t>
  </si>
  <si>
    <t>Without Project Market Share</t>
  </si>
  <si>
    <t>Without Project Mode Split</t>
  </si>
  <si>
    <t>Change Between With and Without Project</t>
  </si>
  <si>
    <t>Change in TEUs Impacted</t>
  </si>
  <si>
    <t xml:space="preserve">Estimated Annual Truck Trips - South Florida </t>
  </si>
  <si>
    <t>Estimated Annual Truck Trips</t>
  </si>
  <si>
    <t>Estimated Annual Truck Trips  - Central Florida</t>
  </si>
  <si>
    <t>Estimated Annual Truck Trips - Southeastern US</t>
  </si>
  <si>
    <t>Estimated Annual Train Trips</t>
  </si>
  <si>
    <t xml:space="preserve">Estimated Annual Rail Trips  - South Florida </t>
  </si>
  <si>
    <t>Estimated Annual Rail Trips - Central Florida</t>
  </si>
  <si>
    <t>Estimated Annual Rail Trips  - Southeastern US</t>
  </si>
  <si>
    <t>Total Truck Ton-miles with Project</t>
  </si>
  <si>
    <t>Total Truck Driver Travel Time with Project (hours)</t>
  </si>
  <si>
    <t>Total Truck Trips without Project</t>
  </si>
  <si>
    <t>Total Truck Ton-miles without Project</t>
  </si>
  <si>
    <t>Total Truck VMT without Project</t>
  </si>
  <si>
    <t>Total Rail Ton-miles without Project</t>
  </si>
  <si>
    <t>Total Rail VMT without Project</t>
  </si>
  <si>
    <t>Total Rail Trips without Project</t>
  </si>
  <si>
    <t>Total Rail Ton-miles with Project</t>
  </si>
  <si>
    <t>Total Rail VMT with Project</t>
  </si>
  <si>
    <t>Total Rail Trips with Project</t>
  </si>
  <si>
    <t>Diesel Consumption (Gallons)</t>
  </si>
  <si>
    <t>Nitrogen Oxides (NOx) (Metric Tons)</t>
  </si>
  <si>
    <t>Sulfur Dioxide (SOx) (Metric Tons)</t>
  </si>
  <si>
    <t>Volatile Organic Compounds (VOCs) (Metric Tons)</t>
  </si>
  <si>
    <t>Fatalities with Project</t>
  </si>
  <si>
    <t>Fatalities without Project</t>
  </si>
  <si>
    <t>Change in Fatalities</t>
  </si>
  <si>
    <t>Injuries with Project</t>
  </si>
  <si>
    <t>Injuries without Project</t>
  </si>
  <si>
    <t>Property Damage Only Truck Crashes with Project</t>
  </si>
  <si>
    <t>Property Damage Only Truck Crashes without Project</t>
  </si>
  <si>
    <t>Change in Injuries</t>
  </si>
  <si>
    <t>Change in Property Damage Only Truck Crashes</t>
  </si>
  <si>
    <t>Total Locomotive Engineer Time with Project</t>
  </si>
  <si>
    <t>Total Locomotive Engineer Time without Project</t>
  </si>
  <si>
    <t>Avoided Locomotive Engineer Travel Time (hours)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</si>
  <si>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(Metric Tons)</t>
    </r>
  </si>
  <si>
    <r>
      <t>Net Reduction in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(Metric Tons)</t>
    </r>
  </si>
  <si>
    <t>Total Annual Spending 2015 Data: Association of American Railroads. Costs include fuel ($6.7B), property tax ($1.2B), Materials &amp; Supplies ($0.3B) and Maintenance ($9.7 B) over 1.7 trillion ton-miles</t>
  </si>
  <si>
    <t>Share of Highway Vehicle-Miles Traveled by Vehicle Type (2013)</t>
  </si>
  <si>
    <t>West Lake Park Mitigation Program/Plan/Engineer/Design</t>
  </si>
  <si>
    <t>Upland Enhancement (Wetland Creation) Construction</t>
  </si>
  <si>
    <t>Inflation Adjustment Values</t>
  </si>
  <si>
    <t>Model Year 2016</t>
  </si>
  <si>
    <t>Model Year 2036</t>
  </si>
  <si>
    <t>2016 Vehicle Technologies Market Report, Oak Ridge National Laboratory, U.S. Department of Energy, May 2017 (http://cta.ornl.gov/vtmarketreport/index.shtml)</t>
  </si>
  <si>
    <t>Freight Facts and Figures 2017, FHWA</t>
  </si>
  <si>
    <t>Conversion Factor (Multiply Year-Dollars by Conversion Factor to Get 2017 Dollars)</t>
  </si>
  <si>
    <t>Unit Value ($2017)</t>
  </si>
  <si>
    <t>Value of Avoided Pavement Damage ($2017)</t>
  </si>
  <si>
    <t>Truck and Rail Operating Costs with Project ($2017)</t>
  </si>
  <si>
    <t>Truck and Rail Operating Costs without Project ($2017)</t>
  </si>
  <si>
    <t>Truck and Rail Operating Cost Savings ($2017)</t>
  </si>
  <si>
    <t>Truck and Rail Driver Travel Time Cost with Project ($2017)</t>
  </si>
  <si>
    <t>Truck and Rail Driver Travel Time Cost without Project ($2017)</t>
  </si>
  <si>
    <t>Truck and Rail Driver Travel Time Savings ($2017)</t>
  </si>
  <si>
    <t>Total Operating Costs with Project ($2017)</t>
  </si>
  <si>
    <t>Total Operating Costs without Project ($2017)</t>
  </si>
  <si>
    <t>Total Operating Cost Savings ($2017)</t>
  </si>
  <si>
    <t>Safety Savings from Change in Fatalities ($2017)</t>
  </si>
  <si>
    <t>Safety Savings from Change in Injuries ($2017)</t>
  </si>
  <si>
    <t>Safety Savings from Change in Property Damage Only Truck Crashes ($2017)</t>
  </si>
  <si>
    <t>Railroad Property Damage with Project ($2017)</t>
  </si>
  <si>
    <t>Railroad Property Damage without Project ($2017)</t>
  </si>
  <si>
    <t>Change in Railroad Property Damage ($2017)</t>
  </si>
  <si>
    <t>Safety Savings ($2017)</t>
  </si>
  <si>
    <t>Total Expenditures</t>
  </si>
  <si>
    <t>Broward County Government</t>
  </si>
  <si>
    <t>Port Everglades Department</t>
  </si>
  <si>
    <t>Project Expenditures</t>
  </si>
  <si>
    <t>Totals</t>
  </si>
  <si>
    <t>in 2014$</t>
  </si>
  <si>
    <t>in 2015$</t>
  </si>
  <si>
    <t>in 2016$</t>
  </si>
  <si>
    <t>in 2017$</t>
  </si>
  <si>
    <t>in 2018$</t>
  </si>
  <si>
    <t>Estimated GDP Price Index for 2018</t>
  </si>
  <si>
    <t>Total (in 2017$)</t>
  </si>
  <si>
    <t>Project Costs (Discounted at 7%)</t>
  </si>
  <si>
    <t>Benefit and Cost Metrics</t>
  </si>
  <si>
    <t>Discounted at 7%</t>
  </si>
  <si>
    <t>Before Discounting</t>
  </si>
  <si>
    <t>Project Benefits</t>
  </si>
  <si>
    <t>Project Costs</t>
  </si>
  <si>
    <t>Capital</t>
  </si>
  <si>
    <t>O&amp;M Costs</t>
  </si>
  <si>
    <t>Total Project Costs</t>
  </si>
  <si>
    <t>Total Benefits less Total Costs (NPV)</t>
  </si>
  <si>
    <t>Internal Rate of Return</t>
  </si>
  <si>
    <t>Benefit-Cost Analysis Results (in millions of 2017$)*</t>
  </si>
  <si>
    <t>N/A</t>
  </si>
  <si>
    <t>Capital Costs (2017$)</t>
  </si>
  <si>
    <t>Project Costs (2017$)</t>
  </si>
  <si>
    <t>O&amp;M Costs (2017$)</t>
  </si>
  <si>
    <t>Capital Costs (Discounted at 7%)</t>
  </si>
  <si>
    <t>O&amp;M Costs (Discounted at 7%)</t>
  </si>
  <si>
    <t>BCA - Summary Results</t>
  </si>
  <si>
    <t>7% Discount Rate</t>
  </si>
  <si>
    <t>Benefit-Cost Ratio</t>
  </si>
  <si>
    <t>State of Good Repair (2017$)</t>
  </si>
  <si>
    <t>Economic Competitiveness (2017$)</t>
  </si>
  <si>
    <t>Safety (2017$)</t>
  </si>
  <si>
    <t>State of Good Repair (Discounted at 7%, 2017$)</t>
  </si>
  <si>
    <t>Economic Competitiveness (Discounted at 7%, 2017$)</t>
  </si>
  <si>
    <t>Safety (Discounted at 7%, 2017$)</t>
  </si>
  <si>
    <t>Benefits less Costs (2017$)</t>
  </si>
  <si>
    <t>IRR</t>
  </si>
  <si>
    <t>Vehicle Operating Costs</t>
  </si>
  <si>
    <t>Commerical Trucks</t>
  </si>
  <si>
    <t>Recommended Hourly Value of Travel Time Savings (2017 U.S. $ per person-hour)</t>
  </si>
  <si>
    <t>$/metric ton (2017$)</t>
  </si>
  <si>
    <t>$/short ton (2017$)</t>
  </si>
  <si>
    <t>Value (2017$)</t>
  </si>
  <si>
    <t>Value (2014$)</t>
  </si>
  <si>
    <t>Westlake Park Mitigation Construction</t>
  </si>
  <si>
    <r>
      <t>Value of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(2017$)</t>
    </r>
  </si>
  <si>
    <t>Value of NOx (2017$)</t>
  </si>
  <si>
    <t>Value of SOx (2017$)</t>
  </si>
  <si>
    <t>Value of VOCs (2017$)</t>
  </si>
  <si>
    <t>SCC ($2017)</t>
  </si>
  <si>
    <t>Environmental Protection</t>
  </si>
  <si>
    <r>
      <t xml:space="preserve">Net Present Value </t>
    </r>
    <r>
      <rPr>
        <sz val="11"/>
        <color theme="1"/>
        <rFont val="Arial Narrow"/>
        <family val="2"/>
      </rPr>
      <t>(2017$, in millions)</t>
    </r>
  </si>
  <si>
    <r>
      <t xml:space="preserve">Total Benefits </t>
    </r>
    <r>
      <rPr>
        <sz val="11"/>
        <color theme="1"/>
        <rFont val="Arial Narrow"/>
        <family val="2"/>
      </rPr>
      <t>(2017$, in millions)</t>
    </r>
  </si>
  <si>
    <r>
      <t>Total Costs</t>
    </r>
    <r>
      <rPr>
        <sz val="11"/>
        <color theme="1"/>
        <rFont val="Arial Narrow"/>
        <family val="2"/>
      </rPr>
      <t xml:space="preserve"> (2017$, in millions) </t>
    </r>
  </si>
  <si>
    <t>Environmental Protection (US)</t>
  </si>
  <si>
    <t>Benefit-Cost Analysis Guidance for Discretionary Grant Programs - December 2018</t>
  </si>
  <si>
    <t>California Life-Cycle Benefit/Cost Analysis Model (Version 6.2), Caltrans, 2019</t>
  </si>
  <si>
    <t>Emission Factors for Rail (g/short ton-mile)</t>
  </si>
  <si>
    <t>2018 SmartWay Logistics Company Partner Tool: Technical Documentation U.S. Version 2.0.17 (2017 Data Year)</t>
  </si>
  <si>
    <t>https://www.epa.gov/sites/production/files/2018-06/documents/420b18030.pdf</t>
  </si>
  <si>
    <t>Property Damage/Train Mile ($2018)</t>
  </si>
  <si>
    <t xml:space="preserve">Source: Bureau of Transportation Statistics Table 2-43 Railroad System Safety and Property Damage Data, 2018. </t>
  </si>
  <si>
    <t>Rail Crash Rates (2018)</t>
  </si>
  <si>
    <t>Large Truck and Bus Crash Facts 2017, Federal Motor Carrier Safety Administration (FMCSA), May 2019</t>
  </si>
  <si>
    <t>FAF 4.5</t>
  </si>
  <si>
    <t>Charleston</t>
  </si>
  <si>
    <t>Houston</t>
  </si>
  <si>
    <t>Particular matter (PM2.5)</t>
  </si>
  <si>
    <r>
      <t>Particulate Matter (PM</t>
    </r>
    <r>
      <rPr>
        <b/>
        <vertAlign val="subscript"/>
        <sz val="11"/>
        <color theme="1"/>
        <rFont val="Calibri"/>
        <family val="2"/>
        <scheme val="minor"/>
      </rPr>
      <t>2.5</t>
    </r>
    <r>
      <rPr>
        <b/>
        <sz val="11"/>
        <color theme="1"/>
        <rFont val="Calibri"/>
        <family val="2"/>
        <scheme val="minor"/>
      </rPr>
      <t>) (Metric Tons)</t>
    </r>
  </si>
  <si>
    <r>
      <t>Value of PM</t>
    </r>
    <r>
      <rPr>
        <b/>
        <vertAlign val="subscript"/>
        <sz val="11"/>
        <color theme="1"/>
        <rFont val="Calibri"/>
        <family val="2"/>
        <scheme val="minor"/>
      </rPr>
      <t>2.5</t>
    </r>
    <r>
      <rPr>
        <b/>
        <sz val="11"/>
        <color theme="1"/>
        <rFont val="Calibri"/>
        <family val="2"/>
        <scheme val="minor"/>
      </rPr>
      <t xml:space="preserve"> (2017$)</t>
    </r>
  </si>
  <si>
    <r>
      <t>Net Reduction in Particulate Matter (PM</t>
    </r>
    <r>
      <rPr>
        <b/>
        <vertAlign val="subscript"/>
        <sz val="11"/>
        <color theme="1"/>
        <rFont val="Calibri"/>
        <family val="2"/>
        <scheme val="minor"/>
      </rPr>
      <t>2.5</t>
    </r>
    <r>
      <rPr>
        <b/>
        <sz val="11"/>
        <color theme="1"/>
        <rFont val="Calibri"/>
        <family val="2"/>
        <scheme val="minor"/>
      </rPr>
      <t>) (Metric Tons)</t>
    </r>
  </si>
  <si>
    <r>
      <t>PM</t>
    </r>
    <r>
      <rPr>
        <b/>
        <vertAlign val="subscript"/>
        <sz val="10"/>
        <rFont val="Arial"/>
        <family val="2"/>
      </rPr>
      <t>2.5</t>
    </r>
  </si>
  <si>
    <r>
      <t>CO</t>
    </r>
    <r>
      <rPr>
        <b/>
        <vertAlign val="subscript"/>
        <sz val="10"/>
        <rFont val="Arial"/>
        <family val="2"/>
      </rPr>
      <t>2</t>
    </r>
  </si>
  <si>
    <r>
      <t>NO</t>
    </r>
    <r>
      <rPr>
        <b/>
        <vertAlign val="subscript"/>
        <sz val="10"/>
        <rFont val="Arial"/>
        <family val="2"/>
      </rPr>
      <t>X</t>
    </r>
  </si>
  <si>
    <r>
      <t>PM</t>
    </r>
    <r>
      <rPr>
        <b/>
        <vertAlign val="subscript"/>
        <sz val="10"/>
        <rFont val="Arial"/>
        <family val="2"/>
      </rPr>
      <t>10</t>
    </r>
  </si>
  <si>
    <r>
      <t>SO</t>
    </r>
    <r>
      <rPr>
        <b/>
        <vertAlign val="subscript"/>
        <sz val="10"/>
        <rFont val="Arial"/>
        <family val="2"/>
      </rPr>
      <t>X</t>
    </r>
  </si>
  <si>
    <t>Project Compenent</t>
  </si>
  <si>
    <t>Other Infrastructure Investments</t>
  </si>
  <si>
    <t>Environmental</t>
  </si>
  <si>
    <t>Total (in 2017$, calendar years)</t>
  </si>
  <si>
    <t>in 2019$</t>
  </si>
  <si>
    <t xml:space="preserve">Environmental (2017$) </t>
  </si>
  <si>
    <t>Total in Non-Discounted Dollars</t>
  </si>
  <si>
    <t>* Unless specified otherwise. **Note that the Benefit-Cost Ratio was calculated as: (Benefits – O&amp;M Costs) / Capital Costs, in compliance with the latest Benefit-Cost Guidance for Discretionary Grant Programs</t>
  </si>
  <si>
    <t>Benefit-Cost Ratio**</t>
  </si>
  <si>
    <t>Emission Factor Projections for Trucks Traveling at 51 mph</t>
  </si>
  <si>
    <t>Emission Factor Projections for Trucks Traveling at 59 mph</t>
  </si>
  <si>
    <t>Emission Factor Projections for Trucks Traveling at 62 mph</t>
  </si>
  <si>
    <t>Discounted Benefits at 7%</t>
  </si>
  <si>
    <t xml:space="preserve">Environmental  (Discounted at 7%, 2017$) </t>
  </si>
  <si>
    <t>Source: CBO, June 2019</t>
  </si>
  <si>
    <t>Estimated GDP Price Index for 2019</t>
  </si>
  <si>
    <t>2023-2051</t>
  </si>
  <si>
    <t xml:space="preserve">2014-2052 Totals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</si>
</sst>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"/>
    <numFmt numFmtId="167" formatCode="0.0000"/>
    <numFmt numFmtId="168" formatCode="_(* #,##0.0_);_(* \(#,##0.0\);_(* &quot;-&quot;??_);_(@_)"/>
    <numFmt numFmtId="169" formatCode="0.000000000"/>
    <numFmt numFmtId="170" formatCode="0.0"/>
    <numFmt numFmtId="171" formatCode="&quot;$&quot;#,##0"/>
    <numFmt numFmtId="172" formatCode="_(* #,##0.0_);_(* \(#,##0.0\);_(* &quot;-&quot;?_);_(@_)"/>
    <numFmt numFmtId="173" formatCode="_(* #,##0.000_);_(* \(#,##0.000\);_(* &quot;-&quot;??_);_(@_)"/>
    <numFmt numFmtId="174" formatCode="0.0%"/>
    <numFmt numFmtId="175" formatCode="&quot;$&quot;#,##0.0_);[Red]\(&quot;$&quot;#,##0.0\)"/>
    <numFmt numFmtId="176" formatCode="0_);[Red]\(0\)"/>
    <numFmt numFmtId="177" formatCode="&quot;$&quot;#,##0.00"/>
    <numFmt numFmtId="178" formatCode="#,##0.0_);\(#,##0.0\)"/>
    <numFmt numFmtId="179" formatCode="&quot;$&quot;#,##0.000_);[Red]\(&quot;$&quot;#,##0.000\)"/>
    <numFmt numFmtId="180" formatCode="&quot;$&quot;#,##0.00000_);[Red]\(&quot;$&quot;#,##0.00000\)"/>
    <numFmt numFmtId="181" formatCode="_(&quot;$&quot;* #,##0.0_);_(&quot;$&quot;* \(#,##0.0\);_(&quot;$&quot;* &quot;-&quot;??_);_(@_)"/>
    <numFmt numFmtId="182" formatCode="[$£-809]#,##0.000"/>
    <numFmt numFmtId="183" formatCode="[$$-409]#,##0"/>
    <numFmt numFmtId="184" formatCode="#,##0\ "/>
    <numFmt numFmtId="185" formatCode="###0.00_)"/>
    <numFmt numFmtId="186" formatCode="#,##0_)"/>
    <numFmt numFmtId="187" formatCode="0.0_W"/>
    <numFmt numFmtId="188" formatCode="0.00_)"/>
  </numFmts>
  <fonts count="10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theme="1"/>
      <name val="Arial"/>
      <family val="2"/>
    </font>
    <font>
      <sz val="10"/>
      <color rgb="FF3F3F76"/>
      <name val="Calibri"/>
      <family val="2"/>
      <scheme val="minor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rgb="FF800000"/>
      <name val="Arial"/>
      <family val="2"/>
    </font>
    <font>
      <sz val="10"/>
      <name val="Arial"/>
      <family val="2"/>
    </font>
    <font>
      <b/>
      <sz val="10"/>
      <color rgb="FF000080"/>
      <name val="Arial"/>
      <family val="2"/>
    </font>
    <font>
      <sz val="10"/>
      <color rgb="FF80000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0"/>
      <color indexed="16"/>
      <name val="Arial"/>
      <family val="2"/>
    </font>
    <font>
      <i/>
      <sz val="10"/>
      <name val="Arial"/>
      <family val="2"/>
    </font>
    <font>
      <b/>
      <sz val="11"/>
      <color rgb="FF000000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0"/>
      <name val="Arial Narrow"/>
      <family val="2"/>
    </font>
    <font>
      <i/>
      <sz val="11"/>
      <name val="Arial Narrow"/>
      <family val="2"/>
    </font>
    <font>
      <i/>
      <sz val="9"/>
      <color theme="1"/>
      <name val="Arial Narrow"/>
      <family val="2"/>
    </font>
    <font>
      <sz val="8"/>
      <color theme="0" tint="-0.14999847407452621"/>
      <name val="Arial Narrow"/>
      <family val="2"/>
    </font>
    <font>
      <b/>
      <sz val="14"/>
      <color theme="1"/>
      <name val="Arial Narrow"/>
      <family val="2"/>
    </font>
    <font>
      <b/>
      <u/>
      <sz val="12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9"/>
      <color indexed="8"/>
      <name val="Calibri"/>
      <family val="2"/>
    </font>
    <font>
      <sz val="12"/>
      <name val="Helv"/>
    </font>
    <font>
      <sz val="10"/>
      <name val="Tahoma"/>
      <family val="2"/>
    </font>
    <font>
      <b/>
      <sz val="12"/>
      <name val="Helv"/>
    </font>
    <font>
      <sz val="10"/>
      <name val="Helv"/>
    </font>
    <font>
      <sz val="9"/>
      <name val="Helv"/>
    </font>
    <font>
      <vertAlign val="superscript"/>
      <sz val="12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i/>
      <sz val="16"/>
      <name val="Helv"/>
    </font>
    <font>
      <sz val="8"/>
      <name val="Helv"/>
    </font>
    <font>
      <b/>
      <sz val="14"/>
      <name val="Helv"/>
    </font>
    <font>
      <b/>
      <sz val="11"/>
      <name val="Times New Roman"/>
      <family val="1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12"/>
      <color theme="0"/>
      <name val="Arial Narrow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2"/>
      <color rgb="FFFA7D00"/>
      <name val="Arial"/>
      <family val="2"/>
    </font>
    <font>
      <b/>
      <sz val="12"/>
      <color rgb="FFFA7D00"/>
      <name val="Arial Narrow"/>
      <family val="2"/>
    </font>
    <font>
      <sz val="10"/>
      <color theme="1"/>
      <name val="Tahoma"/>
      <family val="2"/>
    </font>
    <font>
      <sz val="12"/>
      <color theme="1"/>
      <name val="Calibri"/>
      <family val="2"/>
      <scheme val="minor"/>
    </font>
    <font>
      <b/>
      <sz val="13"/>
      <color theme="3"/>
      <name val="Arial"/>
      <family val="2"/>
    </font>
    <font>
      <b/>
      <sz val="13"/>
      <color theme="3"/>
      <name val="Arial Narrow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3F3F76"/>
      <name val="Arial"/>
      <family val="2"/>
    </font>
    <font>
      <sz val="12"/>
      <color rgb="FF3F3F76"/>
      <name val="Arial Narrow"/>
      <family val="2"/>
    </font>
    <font>
      <sz val="10"/>
      <color theme="4"/>
      <name val="Arial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Times New Roman"/>
      <family val="2"/>
    </font>
    <font>
      <sz val="11"/>
      <color indexed="8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5"/>
      <name val="Tahoma"/>
      <family val="2"/>
    </font>
    <font>
      <b/>
      <sz val="11"/>
      <color theme="1"/>
      <name val="Times New Roman"/>
      <family val="2"/>
    </font>
    <font>
      <b/>
      <vertAlign val="subscript"/>
      <sz val="1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rgb="FF01FF00"/>
        <bgColor indexed="64"/>
      </patternFill>
    </fill>
    <fill>
      <patternFill patternType="solid">
        <fgColor rgb="FFFF333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6666"/>
        <bgColor indexed="64"/>
      </patternFill>
    </fill>
    <fill>
      <patternFill patternType="solid">
        <fgColor rgb="FFCC66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1FFFF"/>
        <bgColor indexed="64"/>
      </patternFill>
    </fill>
    <fill>
      <patternFill patternType="solid">
        <fgColor rgb="FF99CCCC"/>
        <bgColor indexed="64"/>
      </patternFill>
    </fill>
    <fill>
      <patternFill patternType="solid">
        <fgColor rgb="FF00CCCC"/>
        <bgColor indexed="64"/>
      </patternFill>
    </fill>
    <fill>
      <patternFill patternType="solid">
        <fgColor rgb="FF669999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33FF"/>
        <bgColor indexed="64"/>
      </patternFill>
    </fill>
    <fill>
      <patternFill patternType="solid">
        <fgColor rgb="FFCC99CC"/>
        <bgColor indexed="64"/>
      </patternFill>
    </fill>
    <fill>
      <patternFill patternType="solid">
        <fgColor rgb="FFCC66CC"/>
        <bgColor indexed="64"/>
      </patternFill>
    </fill>
    <fill>
      <patternFill patternType="solid">
        <fgColor theme="1" tint="0.34998626667073579"/>
        <bgColor indexed="64"/>
      </patternFill>
    </fill>
  </fills>
  <borders count="9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dashed">
        <color rgb="FFBFBFBF"/>
      </bottom>
      <diagonal/>
    </border>
  </borders>
  <cellStyleXfs count="34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5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3" borderId="1" applyNumberFormat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182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8" borderId="0"/>
    <xf numFmtId="0" fontId="1" fillId="39" borderId="0"/>
    <xf numFmtId="0" fontId="56" fillId="13" borderId="0" applyNumberFormat="0" applyBorder="0" applyAlignment="0" applyProtection="0"/>
    <xf numFmtId="0" fontId="56" fillId="17" borderId="0" applyNumberFormat="0" applyBorder="0" applyAlignment="0" applyProtection="0"/>
    <xf numFmtId="0" fontId="56" fillId="21" borderId="0" applyNumberFormat="0" applyBorder="0" applyAlignment="0" applyProtection="0"/>
    <xf numFmtId="0" fontId="56" fillId="25" borderId="0" applyNumberFormat="0" applyBorder="0" applyAlignment="0" applyProtection="0"/>
    <xf numFmtId="0" fontId="56" fillId="29" borderId="0" applyNumberFormat="0" applyBorder="0" applyAlignment="0" applyProtection="0"/>
    <xf numFmtId="0" fontId="56" fillId="33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6" fillId="10" borderId="0" applyNumberFormat="0" applyBorder="0" applyAlignment="0" applyProtection="0"/>
    <xf numFmtId="0" fontId="77" fillId="10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75" fillId="14" borderId="0" applyNumberFormat="0" applyBorder="0" applyAlignment="0" applyProtection="0"/>
    <xf numFmtId="183" fontId="78" fillId="14" borderId="0" applyNumberFormat="0" applyBorder="0" applyAlignment="0" applyProtection="0"/>
    <xf numFmtId="0" fontId="76" fillId="14" borderId="0" applyNumberFormat="0" applyBorder="0" applyAlignment="0" applyProtection="0"/>
    <xf numFmtId="0" fontId="77" fillId="14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76" fillId="18" borderId="0" applyNumberFormat="0" applyBorder="0" applyAlignment="0" applyProtection="0"/>
    <xf numFmtId="0" fontId="77" fillId="18" borderId="0" applyNumberFormat="0" applyBorder="0" applyAlignment="0" applyProtection="0"/>
    <xf numFmtId="0" fontId="56" fillId="22" borderId="0" applyNumberFormat="0" applyBorder="0" applyAlignment="0" applyProtection="0"/>
    <xf numFmtId="0" fontId="56" fillId="22" borderId="0" applyNumberFormat="0" applyBorder="0" applyAlignment="0" applyProtection="0"/>
    <xf numFmtId="0" fontId="56" fillId="22" borderId="0" applyNumberFormat="0" applyBorder="0" applyAlignment="0" applyProtection="0"/>
    <xf numFmtId="0" fontId="56" fillId="22" borderId="0" applyNumberFormat="0" applyBorder="0" applyAlignment="0" applyProtection="0"/>
    <xf numFmtId="0" fontId="56" fillId="26" borderId="0" applyNumberFormat="0" applyBorder="0" applyAlignment="0" applyProtection="0"/>
    <xf numFmtId="0" fontId="56" fillId="30" borderId="0" applyNumberFormat="0" applyBorder="0" applyAlignment="0" applyProtection="0"/>
    <xf numFmtId="184" fontId="58" fillId="0" borderId="0">
      <alignment vertical="center"/>
    </xf>
    <xf numFmtId="0" fontId="48" fillId="2" borderId="0" applyNumberFormat="0" applyBorder="0" applyAlignment="0" applyProtection="0"/>
    <xf numFmtId="183" fontId="79" fillId="2" borderId="0" applyNumberFormat="0" applyBorder="0" applyAlignment="0" applyProtection="0"/>
    <xf numFmtId="0" fontId="61" fillId="0" borderId="94" applyNumberFormat="0" applyFont="0" applyProtection="0">
      <alignment wrapText="1"/>
    </xf>
    <xf numFmtId="0" fontId="51" fillId="7" borderId="1" applyNumberFormat="0" applyAlignment="0" applyProtection="0"/>
    <xf numFmtId="0" fontId="51" fillId="7" borderId="1" applyNumberFormat="0" applyAlignment="0" applyProtection="0"/>
    <xf numFmtId="0" fontId="80" fillId="7" borderId="1" applyNumberFormat="0" applyAlignment="0" applyProtection="0"/>
    <xf numFmtId="0" fontId="81" fillId="7" borderId="1" applyNumberFormat="0" applyAlignment="0" applyProtection="0"/>
    <xf numFmtId="0" fontId="53" fillId="8" borderId="87" applyNumberFormat="0" applyAlignment="0" applyProtection="0"/>
    <xf numFmtId="0" fontId="1" fillId="40" borderId="0"/>
    <xf numFmtId="0" fontId="1" fillId="41" borderId="0"/>
    <xf numFmtId="0" fontId="1" fillId="42" borderId="0"/>
    <xf numFmtId="0" fontId="1" fillId="43" borderId="0"/>
    <xf numFmtId="0" fontId="62" fillId="0" borderId="0">
      <alignment horizontal="center" vertical="center" wrapText="1"/>
    </xf>
    <xf numFmtId="43" fontId="3" fillId="0" borderId="0" applyFont="0" applyFill="0" applyBorder="0" applyAlignment="0" applyProtection="0"/>
    <xf numFmtId="43" fontId="59" fillId="0" borderId="0" applyFont="0" applyFill="0" applyBorder="0" applyAlignment="0" applyProtection="0">
      <alignment vertical="top"/>
    </xf>
    <xf numFmtId="43" fontId="6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64" fillId="0" borderId="0">
      <alignment horizontal="left" vertical="center" wrapText="1"/>
    </xf>
    <xf numFmtId="44" fontId="59" fillId="0" borderId="0" applyFont="0" applyFill="0" applyBorder="0" applyAlignment="0" applyProtection="0">
      <alignment vertical="top"/>
    </xf>
    <xf numFmtId="44" fontId="59" fillId="0" borderId="0" applyFont="0" applyFill="0" applyBorder="0" applyAlignment="0" applyProtection="0">
      <alignment vertical="top"/>
    </xf>
    <xf numFmtId="44" fontId="6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3" fillId="0" borderId="0" applyFont="0" applyFill="0" applyBorder="0" applyAlignment="0" applyProtection="0"/>
    <xf numFmtId="168" fontId="3" fillId="0" borderId="0" applyFont="0" applyFill="0" applyBorder="0" applyAlignment="0" applyProtection="0"/>
    <xf numFmtId="185" fontId="65" fillId="0" borderId="91" applyNumberFormat="0" applyFill="0">
      <alignment horizontal="right"/>
    </xf>
    <xf numFmtId="185" fontId="65" fillId="0" borderId="91" applyNumberFormat="0" applyFill="0">
      <alignment horizontal="right"/>
    </xf>
    <xf numFmtId="186" fontId="66" fillId="0" borderId="91">
      <alignment horizontal="right" vertical="center"/>
    </xf>
    <xf numFmtId="49" fontId="67" fillId="0" borderId="91">
      <alignment horizontal="left" vertical="center"/>
    </xf>
    <xf numFmtId="185" fontId="65" fillId="0" borderId="91" applyNumberFormat="0" applyFill="0">
      <alignment horizontal="right"/>
    </xf>
    <xf numFmtId="187" fontId="65" fillId="0" borderId="91">
      <alignment horizontal="right"/>
    </xf>
    <xf numFmtId="0" fontId="3" fillId="0" borderId="0" applyFont="0" applyFill="0" applyBorder="0" applyAlignment="0" applyProtection="0"/>
    <xf numFmtId="0" fontId="55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47" fillId="5" borderId="0" applyNumberFormat="0" applyBorder="0" applyAlignment="0" applyProtection="0"/>
    <xf numFmtId="38" fontId="57" fillId="34" borderId="0" applyNumberFormat="0" applyBorder="0" applyAlignment="0" applyProtection="0"/>
    <xf numFmtId="0" fontId="44" fillId="0" borderId="82" applyNumberFormat="0" applyFill="0" applyAlignment="0" applyProtection="0"/>
    <xf numFmtId="0" fontId="45" fillId="0" borderId="83" applyNumberFormat="0" applyFill="0" applyAlignment="0" applyProtection="0"/>
    <xf numFmtId="0" fontId="45" fillId="0" borderId="83" applyNumberFormat="0" applyFill="0" applyAlignment="0" applyProtection="0"/>
    <xf numFmtId="0" fontId="84" fillId="0" borderId="83" applyNumberFormat="0" applyFill="0" applyAlignment="0" applyProtection="0"/>
    <xf numFmtId="0" fontId="85" fillId="0" borderId="83" applyNumberFormat="0" applyFill="0" applyAlignment="0" applyProtection="0"/>
    <xf numFmtId="0" fontId="46" fillId="0" borderId="84" applyNumberFormat="0" applyFill="0" applyAlignment="0" applyProtection="0"/>
    <xf numFmtId="0" fontId="46" fillId="0" borderId="0" applyNumberFormat="0" applyFill="0" applyBorder="0" applyAlignment="0" applyProtection="0"/>
    <xf numFmtId="183" fontId="68" fillId="0" borderId="91">
      <alignment horizontal="left"/>
    </xf>
    <xf numFmtId="183" fontId="68" fillId="0" borderId="91">
      <alignment horizontal="left"/>
    </xf>
    <xf numFmtId="0" fontId="69" fillId="0" borderId="92">
      <alignment horizontal="right" vertical="center"/>
    </xf>
    <xf numFmtId="0" fontId="70" fillId="0" borderId="91">
      <alignment horizontal="left" vertical="center"/>
    </xf>
    <xf numFmtId="0" fontId="65" fillId="0" borderId="91">
      <alignment horizontal="left" vertical="center"/>
    </xf>
    <xf numFmtId="0" fontId="68" fillId="0" borderId="91">
      <alignment horizontal="left"/>
    </xf>
    <xf numFmtId="183" fontId="68" fillId="35" borderId="0">
      <alignment horizontal="centerContinuous" wrapText="1"/>
    </xf>
    <xf numFmtId="49" fontId="68" fillId="35" borderId="3">
      <alignment horizontal="left" vertical="center"/>
    </xf>
    <xf numFmtId="183" fontId="68" fillId="35" borderId="0">
      <alignment horizontal="centerContinuous" wrapText="1"/>
    </xf>
    <xf numFmtId="0" fontId="68" fillId="35" borderId="0">
      <alignment horizontal="centerContinuous" vertical="center" wrapText="1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/>
    <xf numFmtId="10" fontId="57" fillId="36" borderId="15" applyNumberFormat="0" applyBorder="0" applyAlignment="0" applyProtection="0"/>
    <xf numFmtId="0" fontId="88" fillId="3" borderId="1" applyNumberFormat="0" applyAlignment="0" applyProtection="0"/>
    <xf numFmtId="0" fontId="88" fillId="3" borderId="1" applyNumberFormat="0" applyAlignment="0" applyProtection="0"/>
    <xf numFmtId="0" fontId="88" fillId="3" borderId="1" applyNumberFormat="0" applyAlignment="0" applyProtection="0"/>
    <xf numFmtId="0" fontId="88" fillId="3" borderId="1" applyNumberFormat="0" applyAlignment="0" applyProtection="0"/>
    <xf numFmtId="0" fontId="88" fillId="3" borderId="1" applyNumberFormat="0" applyAlignment="0" applyProtection="0"/>
    <xf numFmtId="0" fontId="89" fillId="3" borderId="1" applyNumberFormat="0" applyAlignment="0" applyProtection="0"/>
    <xf numFmtId="0" fontId="49" fillId="3" borderId="1" applyNumberFormat="0" applyAlignment="0" applyProtection="0"/>
    <xf numFmtId="0" fontId="49" fillId="3" borderId="1" applyNumberFormat="0" applyAlignment="0" applyProtection="0"/>
    <xf numFmtId="0" fontId="49" fillId="3" borderId="1" applyNumberFormat="0" applyAlignment="0" applyProtection="0"/>
    <xf numFmtId="0" fontId="49" fillId="3" borderId="1" applyNumberFormat="0" applyAlignment="0" applyProtection="0"/>
    <xf numFmtId="0" fontId="90" fillId="0" borderId="1" applyNumberFormat="0" applyAlignment="0" applyProtection="0"/>
    <xf numFmtId="0" fontId="90" fillId="0" borderId="1" applyNumberFormat="0" applyAlignment="0" applyProtection="0"/>
    <xf numFmtId="0" fontId="90" fillId="0" borderId="1" applyNumberFormat="0" applyAlignment="0" applyProtection="0"/>
    <xf numFmtId="0" fontId="90" fillId="0" borderId="1" applyNumberFormat="0" applyAlignment="0" applyProtection="0"/>
    <xf numFmtId="0" fontId="49" fillId="3" borderId="1" applyNumberFormat="0" applyAlignment="0" applyProtection="0"/>
    <xf numFmtId="0" fontId="49" fillId="3" borderId="1" applyNumberFormat="0" applyAlignment="0" applyProtection="0"/>
    <xf numFmtId="0" fontId="88" fillId="3" borderId="1" applyNumberFormat="0" applyAlignment="0" applyProtection="0"/>
    <xf numFmtId="0" fontId="88" fillId="3" borderId="1" applyNumberFormat="0" applyAlignment="0" applyProtection="0"/>
    <xf numFmtId="0" fontId="88" fillId="3" borderId="1" applyNumberFormat="0" applyAlignment="0" applyProtection="0"/>
    <xf numFmtId="0" fontId="52" fillId="0" borderId="86" applyNumberFormat="0" applyFill="0" applyAlignment="0" applyProtection="0"/>
    <xf numFmtId="0" fontId="91" fillId="6" borderId="0" applyNumberFormat="0" applyBorder="0" applyAlignment="0" applyProtection="0"/>
    <xf numFmtId="188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2" fillId="0" borderId="0"/>
    <xf numFmtId="0" fontId="3" fillId="0" borderId="0"/>
    <xf numFmtId="0" fontId="59" fillId="0" borderId="0">
      <alignment vertical="top"/>
    </xf>
    <xf numFmtId="183" fontId="63" fillId="0" borderId="0"/>
    <xf numFmtId="0" fontId="93" fillId="0" borderId="0"/>
    <xf numFmtId="0" fontId="1" fillId="0" borderId="0"/>
    <xf numFmtId="0" fontId="5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4" fillId="0" borderId="0"/>
    <xf numFmtId="0" fontId="1" fillId="0" borderId="0"/>
    <xf numFmtId="0" fontId="83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182" fontId="1" fillId="0" borderId="0"/>
    <xf numFmtId="0" fontId="1" fillId="0" borderId="0"/>
    <xf numFmtId="183" fontId="3" fillId="0" borderId="0"/>
    <xf numFmtId="0" fontId="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182" fontId="1" fillId="0" borderId="0"/>
    <xf numFmtId="183" fontId="3" fillId="0" borderId="0"/>
    <xf numFmtId="182" fontId="1" fillId="0" borderId="0"/>
    <xf numFmtId="183" fontId="60" fillId="0" borderId="0"/>
    <xf numFmtId="183" fontId="60" fillId="0" borderId="0"/>
    <xf numFmtId="0" fontId="94" fillId="0" borderId="0"/>
    <xf numFmtId="0" fontId="6" fillId="0" borderId="0"/>
    <xf numFmtId="0" fontId="6" fillId="0" borderId="0"/>
    <xf numFmtId="182" fontId="1" fillId="0" borderId="0"/>
    <xf numFmtId="183" fontId="63" fillId="0" borderId="0"/>
    <xf numFmtId="0" fontId="1" fillId="0" borderId="0"/>
    <xf numFmtId="0" fontId="1" fillId="0" borderId="0"/>
    <xf numFmtId="0" fontId="1" fillId="0" borderId="0"/>
    <xf numFmtId="0" fontId="96" fillId="0" borderId="0"/>
    <xf numFmtId="0" fontId="1" fillId="9" borderId="88" applyNumberFormat="0" applyFont="0" applyAlignment="0" applyProtection="0"/>
    <xf numFmtId="0" fontId="93" fillId="9" borderId="88" applyNumberFormat="0" applyFont="0" applyAlignment="0" applyProtection="0"/>
    <xf numFmtId="0" fontId="50" fillId="7" borderId="85" applyNumberFormat="0" applyAlignment="0" applyProtection="0"/>
    <xf numFmtId="10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9" fillId="0" borderId="0" applyFont="0" applyFill="0" applyBorder="0" applyAlignment="0" applyProtection="0">
      <alignment vertical="top"/>
    </xf>
    <xf numFmtId="9" fontId="6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3" fontId="66" fillId="0" borderId="0">
      <alignment horizontal="left" vertical="center"/>
    </xf>
    <xf numFmtId="0" fontId="1" fillId="44" borderId="0"/>
    <xf numFmtId="0" fontId="1" fillId="45" borderId="0"/>
    <xf numFmtId="0" fontId="1" fillId="46" borderId="0"/>
    <xf numFmtId="0" fontId="1" fillId="47" borderId="0"/>
    <xf numFmtId="0" fontId="1" fillId="48" borderId="0"/>
    <xf numFmtId="0" fontId="1" fillId="49" borderId="0"/>
    <xf numFmtId="0" fontId="1" fillId="50" borderId="0"/>
    <xf numFmtId="0" fontId="1" fillId="51" borderId="0"/>
    <xf numFmtId="0" fontId="1" fillId="52" borderId="0"/>
    <xf numFmtId="0" fontId="1" fillId="53" borderId="0"/>
    <xf numFmtId="0" fontId="1" fillId="54" borderId="0"/>
    <xf numFmtId="0" fontId="62" fillId="0" borderId="0">
      <alignment horizontal="left" vertical="center"/>
    </xf>
    <xf numFmtId="0" fontId="72" fillId="0" borderId="0">
      <alignment horizontal="right"/>
    </xf>
    <xf numFmtId="49" fontId="72" fillId="0" borderId="0">
      <alignment horizontal="center"/>
    </xf>
    <xf numFmtId="183" fontId="67" fillId="0" borderId="0">
      <alignment horizontal="right"/>
    </xf>
    <xf numFmtId="183" fontId="67" fillId="0" borderId="0">
      <alignment horizontal="right"/>
    </xf>
    <xf numFmtId="183" fontId="72" fillId="0" borderId="0">
      <alignment horizontal="left"/>
    </xf>
    <xf numFmtId="183" fontId="72" fillId="0" borderId="0">
      <alignment horizontal="left"/>
    </xf>
    <xf numFmtId="0" fontId="72" fillId="0" borderId="0">
      <alignment horizontal="left"/>
    </xf>
    <xf numFmtId="49" fontId="66" fillId="0" borderId="0">
      <alignment horizontal="left" vertical="center"/>
    </xf>
    <xf numFmtId="0" fontId="97" fillId="0" borderId="0"/>
    <xf numFmtId="49" fontId="67" fillId="0" borderId="91">
      <alignment horizontal="left" vertical="center"/>
    </xf>
    <xf numFmtId="49" fontId="62" fillId="0" borderId="91" applyFill="0">
      <alignment horizontal="left" vertical="center"/>
    </xf>
    <xf numFmtId="49" fontId="67" fillId="0" borderId="91">
      <alignment horizontal="left"/>
    </xf>
    <xf numFmtId="185" fontId="66" fillId="0" borderId="0" applyNumberFormat="0">
      <alignment horizontal="right"/>
    </xf>
    <xf numFmtId="0" fontId="69" fillId="37" borderId="0">
      <alignment horizontal="centerContinuous" vertical="center" wrapText="1"/>
    </xf>
    <xf numFmtId="0" fontId="69" fillId="0" borderId="93">
      <alignment horizontal="left" vertical="center"/>
    </xf>
    <xf numFmtId="0" fontId="73" fillId="0" borderId="0">
      <alignment horizontal="left" vertical="top"/>
    </xf>
    <xf numFmtId="40" fontId="74" fillId="0" borderId="0"/>
    <xf numFmtId="0" fontId="68" fillId="0" borderId="0">
      <alignment horizontal="left"/>
    </xf>
    <xf numFmtId="0" fontId="64" fillId="0" borderId="0">
      <alignment horizontal="left"/>
    </xf>
    <xf numFmtId="0" fontId="65" fillId="0" borderId="0">
      <alignment horizontal="left"/>
    </xf>
    <xf numFmtId="183" fontId="73" fillId="0" borderId="0">
      <alignment horizontal="left" vertical="top"/>
    </xf>
    <xf numFmtId="183" fontId="73" fillId="0" borderId="0">
      <alignment horizontal="left" vertical="top"/>
    </xf>
    <xf numFmtId="0" fontId="73" fillId="0" borderId="0">
      <alignment horizontal="left" vertical="top"/>
    </xf>
    <xf numFmtId="183" fontId="64" fillId="0" borderId="0">
      <alignment horizontal="left"/>
    </xf>
    <xf numFmtId="183" fontId="64" fillId="0" borderId="0">
      <alignment horizontal="left"/>
    </xf>
    <xf numFmtId="0" fontId="65" fillId="0" borderId="0">
      <alignment horizontal="left"/>
    </xf>
    <xf numFmtId="0" fontId="2" fillId="0" borderId="89" applyNumberFormat="0" applyFill="0" applyAlignment="0" applyProtection="0"/>
    <xf numFmtId="183" fontId="98" fillId="0" borderId="89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9" fontId="66" fillId="0" borderId="91">
      <alignment horizontal="left"/>
    </xf>
    <xf numFmtId="0" fontId="69" fillId="0" borderId="92">
      <alignment horizontal="left"/>
    </xf>
    <xf numFmtId="0" fontId="68" fillId="0" borderId="0">
      <alignment horizontal="left" vertical="center"/>
    </xf>
    <xf numFmtId="49" fontId="72" fillId="0" borderId="91">
      <alignment horizontal="left"/>
    </xf>
    <xf numFmtId="0" fontId="3" fillId="0" borderId="0"/>
    <xf numFmtId="9" fontId="3" fillId="0" borderId="0" applyFont="0" applyFill="0" applyBorder="0" applyAlignment="0" applyProtection="0"/>
  </cellStyleXfs>
  <cellXfs count="486">
    <xf numFmtId="0" fontId="0" fillId="0" borderId="0" xfId="0"/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/>
    <xf numFmtId="164" fontId="0" fillId="0" borderId="0" xfId="0" applyNumberFormat="1" applyFill="1" applyBorder="1"/>
    <xf numFmtId="0" fontId="0" fillId="0" borderId="62" xfId="0" applyFill="1" applyBorder="1" applyAlignment="1">
      <alignment horizontal="center"/>
    </xf>
    <xf numFmtId="164" fontId="0" fillId="0" borderId="64" xfId="0" applyNumberFormat="1" applyFill="1" applyBorder="1" applyAlignment="1">
      <alignment horizontal="center"/>
    </xf>
    <xf numFmtId="164" fontId="0" fillId="0" borderId="42" xfId="0" applyNumberFormat="1" applyFill="1" applyBorder="1" applyAlignment="1">
      <alignment horizontal="center"/>
    </xf>
    <xf numFmtId="164" fontId="0" fillId="0" borderId="43" xfId="0" applyNumberFormat="1" applyFill="1" applyBorder="1" applyAlignment="1">
      <alignment horizontal="center"/>
    </xf>
    <xf numFmtId="164" fontId="0" fillId="0" borderId="44" xfId="0" applyNumberFormat="1" applyFill="1" applyBorder="1" applyAlignment="1">
      <alignment horizontal="center"/>
    </xf>
    <xf numFmtId="164" fontId="0" fillId="0" borderId="67" xfId="0" applyNumberFormat="1" applyFill="1" applyBorder="1" applyAlignment="1">
      <alignment horizontal="center"/>
    </xf>
    <xf numFmtId="0" fontId="4" fillId="0" borderId="34" xfId="0" applyFont="1" applyFill="1" applyBorder="1"/>
    <xf numFmtId="0" fontId="2" fillId="0" borderId="34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164" fontId="0" fillId="0" borderId="68" xfId="0" applyNumberFormat="1" applyFill="1" applyBorder="1" applyAlignment="1">
      <alignment horizontal="center"/>
    </xf>
    <xf numFmtId="0" fontId="0" fillId="0" borderId="69" xfId="0" applyFill="1" applyBorder="1" applyAlignment="1">
      <alignment horizontal="center" vertical="center" wrapText="1"/>
    </xf>
    <xf numFmtId="0" fontId="2" fillId="0" borderId="15" xfId="0" applyFont="1" applyFill="1" applyBorder="1"/>
    <xf numFmtId="164" fontId="0" fillId="0" borderId="31" xfId="0" applyNumberFormat="1" applyFill="1" applyBorder="1" applyAlignment="1">
      <alignment horizontal="center"/>
    </xf>
    <xf numFmtId="3" fontId="0" fillId="0" borderId="0" xfId="0" applyNumberFormat="1" applyFill="1" applyBorder="1"/>
    <xf numFmtId="0" fontId="2" fillId="0" borderId="28" xfId="0" applyFont="1" applyFill="1" applyBorder="1" applyAlignment="1">
      <alignment horizontal="center"/>
    </xf>
    <xf numFmtId="0" fontId="9" fillId="0" borderId="55" xfId="0" applyFont="1" applyFill="1" applyBorder="1"/>
    <xf numFmtId="0" fontId="11" fillId="0" borderId="34" xfId="0" applyFont="1" applyFill="1" applyBorder="1"/>
    <xf numFmtId="0" fontId="0" fillId="0" borderId="34" xfId="0" applyFont="1" applyFill="1" applyBorder="1"/>
    <xf numFmtId="0" fontId="11" fillId="0" borderId="51" xfId="0" applyFont="1" applyFill="1" applyBorder="1"/>
    <xf numFmtId="6" fontId="2" fillId="0" borderId="0" xfId="0" applyNumberFormat="1" applyFont="1" applyFill="1" applyBorder="1"/>
    <xf numFmtId="0" fontId="4" fillId="0" borderId="0" xfId="0" applyFont="1" applyFill="1"/>
    <xf numFmtId="3" fontId="0" fillId="0" borderId="0" xfId="0" applyNumberFormat="1" applyFill="1"/>
    <xf numFmtId="170" fontId="0" fillId="0" borderId="0" xfId="0" applyNumberFormat="1" applyFill="1"/>
    <xf numFmtId="164" fontId="0" fillId="0" borderId="0" xfId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0" fillId="0" borderId="45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168" fontId="0" fillId="0" borderId="0" xfId="1" applyNumberFormat="1" applyFont="1" applyFill="1" applyBorder="1" applyAlignment="1">
      <alignment vertical="center"/>
    </xf>
    <xf numFmtId="164" fontId="0" fillId="0" borderId="49" xfId="1" applyNumberFormat="1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3" fontId="2" fillId="0" borderId="15" xfId="0" applyNumberFormat="1" applyFont="1" applyFill="1" applyBorder="1" applyAlignment="1">
      <alignment horizontal="center"/>
    </xf>
    <xf numFmtId="9" fontId="2" fillId="0" borderId="15" xfId="0" applyNumberFormat="1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165" fontId="0" fillId="0" borderId="19" xfId="0" applyNumberFormat="1" applyFill="1" applyBorder="1"/>
    <xf numFmtId="165" fontId="0" fillId="0" borderId="59" xfId="0" applyNumberFormat="1" applyFill="1" applyBorder="1"/>
    <xf numFmtId="165" fontId="0" fillId="0" borderId="43" xfId="0" applyNumberFormat="1" applyFill="1" applyBorder="1"/>
    <xf numFmtId="168" fontId="19" fillId="0" borderId="0" xfId="0" applyNumberFormat="1" applyFont="1" applyFill="1" applyBorder="1"/>
    <xf numFmtId="165" fontId="0" fillId="0" borderId="0" xfId="0" applyNumberFormat="1" applyFill="1" applyBorder="1"/>
    <xf numFmtId="165" fontId="0" fillId="0" borderId="35" xfId="0" applyNumberFormat="1" applyFill="1" applyBorder="1"/>
    <xf numFmtId="0" fontId="0" fillId="0" borderId="31" xfId="0" applyFill="1" applyBorder="1" applyAlignment="1">
      <alignment horizontal="center"/>
    </xf>
    <xf numFmtId="164" fontId="0" fillId="0" borderId="32" xfId="0" applyNumberFormat="1" applyFill="1" applyBorder="1"/>
    <xf numFmtId="0" fontId="2" fillId="0" borderId="24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164" fontId="0" fillId="0" borderId="6" xfId="1" applyNumberFormat="1" applyFont="1" applyFill="1" applyBorder="1" applyAlignment="1">
      <alignment vertical="center"/>
    </xf>
    <xf numFmtId="164" fontId="0" fillId="0" borderId="4" xfId="1" applyNumberFormat="1" applyFont="1" applyFill="1" applyBorder="1" applyAlignment="1">
      <alignment vertical="center"/>
    </xf>
    <xf numFmtId="164" fontId="0" fillId="0" borderId="3" xfId="1" applyNumberFormat="1" applyFont="1" applyFill="1" applyBorder="1" applyAlignment="1">
      <alignment vertical="center"/>
    </xf>
    <xf numFmtId="164" fontId="0" fillId="0" borderId="5" xfId="1" applyNumberFormat="1" applyFont="1" applyFill="1" applyBorder="1" applyAlignment="1">
      <alignment vertical="center"/>
    </xf>
    <xf numFmtId="164" fontId="0" fillId="0" borderId="0" xfId="1" applyNumberFormat="1" applyFont="1" applyFill="1" applyBorder="1"/>
    <xf numFmtId="0" fontId="0" fillId="0" borderId="46" xfId="0" applyFont="1" applyBorder="1"/>
    <xf numFmtId="0" fontId="0" fillId="0" borderId="47" xfId="0" applyFont="1" applyBorder="1"/>
    <xf numFmtId="0" fontId="0" fillId="0" borderId="0" xfId="0" applyFont="1"/>
    <xf numFmtId="0" fontId="0" fillId="0" borderId="0" xfId="0" applyFont="1" applyBorder="1"/>
    <xf numFmtId="37" fontId="19" fillId="0" borderId="0" xfId="1" applyNumberFormat="1" applyFont="1" applyFill="1" applyBorder="1"/>
    <xf numFmtId="37" fontId="19" fillId="0" borderId="0" xfId="1" applyNumberFormat="1" applyFont="1" applyFill="1" applyBorder="1" applyAlignment="1">
      <alignment wrapText="1"/>
    </xf>
    <xf numFmtId="0" fontId="0" fillId="0" borderId="0" xfId="0" applyFont="1" applyFill="1"/>
    <xf numFmtId="0" fontId="0" fillId="0" borderId="56" xfId="0" applyFont="1" applyFill="1" applyBorder="1"/>
    <xf numFmtId="0" fontId="0" fillId="0" borderId="57" xfId="0" applyFont="1" applyFill="1" applyBorder="1"/>
    <xf numFmtId="0" fontId="0" fillId="0" borderId="0" xfId="0" applyFont="1" applyFill="1" applyBorder="1"/>
    <xf numFmtId="0" fontId="0" fillId="0" borderId="35" xfId="0" applyFont="1" applyFill="1" applyBorder="1"/>
    <xf numFmtId="0" fontId="0" fillId="0" borderId="53" xfId="0" applyFont="1" applyFill="1" applyBorder="1"/>
    <xf numFmtId="0" fontId="0" fillId="0" borderId="3" xfId="0" applyFont="1" applyFill="1" applyBorder="1"/>
    <xf numFmtId="0" fontId="0" fillId="0" borderId="54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35" xfId="0" applyFont="1" applyFill="1" applyBorder="1" applyAlignment="1">
      <alignment wrapText="1"/>
    </xf>
    <xf numFmtId="0" fontId="0" fillId="0" borderId="8" xfId="0" applyFont="1" applyFill="1" applyBorder="1"/>
    <xf numFmtId="0" fontId="0" fillId="0" borderId="52" xfId="0" applyFont="1" applyFill="1" applyBorder="1"/>
    <xf numFmtId="0" fontId="0" fillId="0" borderId="0" xfId="0" applyFont="1" applyFill="1" applyBorder="1" applyAlignment="1">
      <alignment vertical="center"/>
    </xf>
    <xf numFmtId="0" fontId="0" fillId="0" borderId="49" xfId="0" applyFont="1" applyFill="1" applyBorder="1"/>
    <xf numFmtId="0" fontId="0" fillId="0" borderId="50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left" wrapText="1"/>
    </xf>
    <xf numFmtId="0" fontId="19" fillId="0" borderId="0" xfId="4" applyFont="1" applyFill="1"/>
    <xf numFmtId="0" fontId="19" fillId="0" borderId="0" xfId="4" applyFont="1" applyFill="1" applyBorder="1"/>
    <xf numFmtId="0" fontId="0" fillId="0" borderId="15" xfId="0" applyFont="1" applyFill="1" applyBorder="1"/>
    <xf numFmtId="3" fontId="0" fillId="0" borderId="0" xfId="0" applyNumberFormat="1" applyFont="1" applyFill="1" applyBorder="1" applyAlignment="1">
      <alignment vertical="center"/>
    </xf>
    <xf numFmtId="0" fontId="0" fillId="0" borderId="48" xfId="0" applyFont="1" applyFill="1" applyBorder="1"/>
    <xf numFmtId="3" fontId="0" fillId="0" borderId="0" xfId="0" applyNumberFormat="1" applyFont="1" applyFill="1" applyBorder="1"/>
    <xf numFmtId="169" fontId="0" fillId="0" borderId="0" xfId="0" applyNumberFormat="1" applyFont="1" applyFill="1"/>
    <xf numFmtId="0" fontId="2" fillId="0" borderId="45" xfId="0" applyFont="1" applyFill="1" applyBorder="1"/>
    <xf numFmtId="0" fontId="0" fillId="0" borderId="3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0" fillId="0" borderId="34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35" xfId="0" applyFont="1" applyFill="1" applyBorder="1" applyAlignment="1">
      <alignment vertical="center" wrapText="1"/>
    </xf>
    <xf numFmtId="0" fontId="0" fillId="0" borderId="34" xfId="0" applyFont="1" applyFill="1" applyBorder="1" applyAlignment="1">
      <alignment vertical="center" wrapText="1"/>
    </xf>
    <xf numFmtId="0" fontId="0" fillId="0" borderId="48" xfId="0" applyFont="1" applyFill="1" applyBorder="1" applyAlignment="1">
      <alignment vertical="center" wrapText="1"/>
    </xf>
    <xf numFmtId="0" fontId="0" fillId="0" borderId="49" xfId="0" applyFont="1" applyFill="1" applyBorder="1" applyAlignment="1">
      <alignment vertical="center" wrapText="1"/>
    </xf>
    <xf numFmtId="0" fontId="0" fillId="0" borderId="50" xfId="0" applyFont="1" applyFill="1" applyBorder="1" applyAlignment="1">
      <alignment vertical="center" wrapText="1"/>
    </xf>
    <xf numFmtId="172" fontId="0" fillId="0" borderId="0" xfId="0" applyNumberFormat="1" applyFont="1" applyFill="1" applyBorder="1" applyAlignment="1">
      <alignment vertical="center"/>
    </xf>
    <xf numFmtId="0" fontId="2" fillId="0" borderId="46" xfId="0" applyFont="1" applyFill="1" applyBorder="1" applyAlignment="1">
      <alignment horizontal="center" vertical="center" wrapText="1"/>
    </xf>
    <xf numFmtId="164" fontId="2" fillId="0" borderId="46" xfId="1" applyNumberFormat="1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vertical="center"/>
    </xf>
    <xf numFmtId="0" fontId="0" fillId="0" borderId="47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vertical="center"/>
    </xf>
    <xf numFmtId="1" fontId="0" fillId="0" borderId="5" xfId="0" applyNumberFormat="1" applyFont="1" applyFill="1" applyBorder="1" applyAlignment="1">
      <alignment vertical="center"/>
    </xf>
    <xf numFmtId="1" fontId="0" fillId="0" borderId="4" xfId="0" applyNumberFormat="1" applyFont="1" applyFill="1" applyBorder="1" applyAlignment="1">
      <alignment vertical="center"/>
    </xf>
    <xf numFmtId="1" fontId="0" fillId="0" borderId="3" xfId="0" applyNumberFormat="1" applyFont="1" applyFill="1" applyBorder="1" applyAlignment="1">
      <alignment vertical="center"/>
    </xf>
    <xf numFmtId="1" fontId="0" fillId="0" borderId="2" xfId="0" applyNumberFormat="1" applyFont="1" applyFill="1" applyBorder="1" applyAlignment="1">
      <alignment vertical="center"/>
    </xf>
    <xf numFmtId="3" fontId="0" fillId="0" borderId="4" xfId="0" applyNumberFormat="1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vertical="center"/>
    </xf>
    <xf numFmtId="3" fontId="0" fillId="0" borderId="2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 wrapText="1"/>
    </xf>
    <xf numFmtId="3" fontId="0" fillId="0" borderId="5" xfId="0" applyNumberFormat="1" applyFont="1" applyFill="1" applyBorder="1" applyAlignment="1">
      <alignment vertical="center" wrapText="1"/>
    </xf>
    <xf numFmtId="164" fontId="0" fillId="0" borderId="2" xfId="0" applyNumberFormat="1" applyFont="1" applyFill="1" applyBorder="1" applyAlignment="1">
      <alignment vertical="center"/>
    </xf>
    <xf numFmtId="0" fontId="0" fillId="0" borderId="3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0" fontId="0" fillId="0" borderId="6" xfId="0" applyNumberFormat="1" applyFont="1" applyFill="1" applyBorder="1" applyAlignment="1">
      <alignment vertical="center"/>
    </xf>
    <xf numFmtId="10" fontId="0" fillId="0" borderId="0" xfId="0" applyNumberFormat="1" applyFont="1" applyFill="1" applyBorder="1" applyAlignment="1">
      <alignment vertical="center"/>
    </xf>
    <xf numFmtId="10" fontId="0" fillId="0" borderId="5" xfId="0" applyNumberFormat="1" applyFont="1" applyFill="1" applyBorder="1" applyAlignment="1">
      <alignment vertical="center"/>
    </xf>
    <xf numFmtId="10" fontId="0" fillId="0" borderId="4" xfId="0" applyNumberFormat="1" applyFont="1" applyFill="1" applyBorder="1" applyAlignment="1">
      <alignment vertical="center"/>
    </xf>
    <xf numFmtId="10" fontId="0" fillId="0" borderId="3" xfId="0" applyNumberFormat="1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vertical="center"/>
    </xf>
    <xf numFmtId="9" fontId="0" fillId="0" borderId="6" xfId="0" applyNumberFormat="1" applyFont="1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9" fontId="0" fillId="0" borderId="5" xfId="0" applyNumberFormat="1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vertical="center"/>
    </xf>
    <xf numFmtId="9" fontId="0" fillId="0" borderId="73" xfId="0" applyNumberFormat="1" applyFont="1" applyFill="1" applyBorder="1" applyAlignment="1">
      <alignment horizontal="center" vertical="center"/>
    </xf>
    <xf numFmtId="9" fontId="0" fillId="0" borderId="49" xfId="0" applyNumberFormat="1" applyFont="1" applyFill="1" applyBorder="1" applyAlignment="1">
      <alignment horizontal="center" vertical="center"/>
    </xf>
    <xf numFmtId="9" fontId="0" fillId="0" borderId="70" xfId="0" applyNumberFormat="1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3" fontId="0" fillId="0" borderId="15" xfId="0" applyNumberFormat="1" applyFont="1" applyFill="1" applyBorder="1" applyAlignment="1">
      <alignment horizontal="center"/>
    </xf>
    <xf numFmtId="1" fontId="0" fillId="0" borderId="15" xfId="0" applyNumberFormat="1" applyFont="1" applyFill="1" applyBorder="1" applyAlignment="1">
      <alignment horizontal="center"/>
    </xf>
    <xf numFmtId="9" fontId="0" fillId="0" borderId="15" xfId="0" applyNumberFormat="1" applyFont="1" applyFill="1" applyBorder="1" applyAlignment="1">
      <alignment horizontal="center"/>
    </xf>
    <xf numFmtId="0" fontId="24" fillId="0" borderId="45" xfId="0" applyFont="1" applyBorder="1"/>
    <xf numFmtId="164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horizontal="center"/>
    </xf>
    <xf numFmtId="164" fontId="0" fillId="0" borderId="35" xfId="0" applyNumberFormat="1" applyFont="1" applyFill="1" applyBorder="1" applyAlignment="1">
      <alignment horizontal="center"/>
    </xf>
    <xf numFmtId="164" fontId="0" fillId="0" borderId="35" xfId="1" applyNumberFormat="1" applyFont="1" applyFill="1" applyBorder="1"/>
    <xf numFmtId="0" fontId="0" fillId="0" borderId="39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70" applyNumberFormat="1" applyFont="1" applyFill="1" applyBorder="1"/>
    <xf numFmtId="0" fontId="0" fillId="0" borderId="48" xfId="0" applyFill="1" applyBorder="1" applyAlignment="1">
      <alignment horizontal="center"/>
    </xf>
    <xf numFmtId="165" fontId="0" fillId="0" borderId="49" xfId="0" applyNumberFormat="1" applyFill="1" applyBorder="1"/>
    <xf numFmtId="165" fontId="0" fillId="0" borderId="50" xfId="0" applyNumberFormat="1" applyFill="1" applyBorder="1"/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165" fontId="0" fillId="0" borderId="34" xfId="0" applyNumberFormat="1" applyFill="1" applyBorder="1" applyAlignment="1">
      <alignment horizontal="center"/>
    </xf>
    <xf numFmtId="165" fontId="0" fillId="0" borderId="35" xfId="70" applyNumberFormat="1" applyFont="1" applyFill="1" applyBorder="1"/>
    <xf numFmtId="165" fontId="0" fillId="0" borderId="34" xfId="70" applyNumberFormat="1" applyFont="1" applyFill="1" applyBorder="1"/>
    <xf numFmtId="165" fontId="0" fillId="0" borderId="34" xfId="0" applyNumberFormat="1" applyFill="1" applyBorder="1"/>
    <xf numFmtId="165" fontId="0" fillId="0" borderId="48" xfId="0" applyNumberFormat="1" applyFill="1" applyBorder="1"/>
    <xf numFmtId="42" fontId="0" fillId="0" borderId="62" xfId="0" applyNumberFormat="1" applyFill="1" applyBorder="1" applyAlignment="1">
      <alignment horizontal="center"/>
    </xf>
    <xf numFmtId="42" fontId="0" fillId="0" borderId="76" xfId="0" applyNumberFormat="1" applyFill="1" applyBorder="1" applyAlignment="1">
      <alignment horizontal="center"/>
    </xf>
    <xf numFmtId="0" fontId="2" fillId="0" borderId="37" xfId="0" applyFont="1" applyFill="1" applyBorder="1" applyAlignment="1">
      <alignment horizontal="center" wrapText="1"/>
    </xf>
    <xf numFmtId="0" fontId="2" fillId="0" borderId="38" xfId="0" applyFont="1" applyFill="1" applyBorder="1" applyAlignment="1">
      <alignment horizontal="center" wrapText="1"/>
    </xf>
    <xf numFmtId="0" fontId="20" fillId="0" borderId="0" xfId="0" applyFont="1" applyFill="1"/>
    <xf numFmtId="164" fontId="0" fillId="0" borderId="58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19" xfId="1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41" xfId="0" applyNumberFormat="1" applyFill="1" applyBorder="1" applyAlignment="1">
      <alignment horizontal="center"/>
    </xf>
    <xf numFmtId="164" fontId="0" fillId="0" borderId="35" xfId="0" applyNumberFormat="1" applyFill="1" applyBorder="1" applyAlignment="1">
      <alignment horizontal="center"/>
    </xf>
    <xf numFmtId="164" fontId="0" fillId="0" borderId="34" xfId="0" applyNumberForma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6" xfId="1" applyNumberFormat="1" applyFont="1" applyFill="1" applyBorder="1" applyAlignment="1">
      <alignment horizontal="center"/>
    </xf>
    <xf numFmtId="164" fontId="0" fillId="0" borderId="35" xfId="1" applyNumberFormat="1" applyFon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59" xfId="1" applyNumberFormat="1" applyFont="1" applyFill="1" applyBorder="1" applyAlignment="1">
      <alignment horizontal="center"/>
    </xf>
    <xf numFmtId="43" fontId="0" fillId="0" borderId="0" xfId="0" applyNumberFormat="1" applyFill="1"/>
    <xf numFmtId="164" fontId="0" fillId="0" borderId="41" xfId="1" applyNumberFormat="1" applyFont="1" applyFill="1" applyBorder="1" applyAlignment="1">
      <alignment horizontal="center"/>
    </xf>
    <xf numFmtId="164" fontId="0" fillId="0" borderId="0" xfId="0" applyNumberFormat="1" applyFill="1"/>
    <xf numFmtId="0" fontId="0" fillId="0" borderId="0" xfId="0" applyFill="1" applyAlignment="1">
      <alignment wrapText="1"/>
    </xf>
    <xf numFmtId="165" fontId="0" fillId="0" borderId="0" xfId="0" applyNumberFormat="1" applyFill="1"/>
    <xf numFmtId="0" fontId="0" fillId="0" borderId="53" xfId="0" applyFill="1" applyBorder="1" applyAlignment="1">
      <alignment horizontal="center"/>
    </xf>
    <xf numFmtId="164" fontId="0" fillId="0" borderId="49" xfId="0" applyNumberFormat="1" applyFill="1" applyBorder="1"/>
    <xf numFmtId="164" fontId="19" fillId="0" borderId="0" xfId="0" applyNumberFormat="1" applyFont="1" applyFill="1" applyBorder="1"/>
    <xf numFmtId="164" fontId="0" fillId="0" borderId="3" xfId="0" applyNumberFormat="1" applyFill="1" applyBorder="1"/>
    <xf numFmtId="165" fontId="0" fillId="0" borderId="3" xfId="0" applyNumberFormat="1" applyFill="1" applyBorder="1"/>
    <xf numFmtId="165" fontId="0" fillId="0" borderId="54" xfId="0" applyNumberFormat="1" applyFill="1" applyBorder="1"/>
    <xf numFmtId="165" fontId="0" fillId="0" borderId="32" xfId="0" applyNumberFormat="1" applyFill="1" applyBorder="1"/>
    <xf numFmtId="165" fontId="0" fillId="0" borderId="33" xfId="0" applyNumberFormat="1" applyFill="1" applyBorder="1"/>
    <xf numFmtId="0" fontId="0" fillId="0" borderId="36" xfId="0" applyFill="1" applyBorder="1"/>
    <xf numFmtId="0" fontId="0" fillId="0" borderId="37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right"/>
    </xf>
    <xf numFmtId="164" fontId="0" fillId="0" borderId="34" xfId="0" applyNumberFormat="1" applyFill="1" applyBorder="1"/>
    <xf numFmtId="164" fontId="0" fillId="0" borderId="34" xfId="0" applyNumberFormat="1" applyFill="1" applyBorder="1" applyAlignment="1">
      <alignment horizontal="right"/>
    </xf>
    <xf numFmtId="164" fontId="0" fillId="0" borderId="48" xfId="0" applyNumberFormat="1" applyFill="1" applyBorder="1"/>
    <xf numFmtId="0" fontId="0" fillId="0" borderId="74" xfId="0" applyFill="1" applyBorder="1" applyAlignment="1">
      <alignment horizontal="center" vertical="center"/>
    </xf>
    <xf numFmtId="164" fontId="0" fillId="0" borderId="33" xfId="0" applyNumberFormat="1" applyFill="1" applyBorder="1" applyAlignment="1">
      <alignment horizontal="center"/>
    </xf>
    <xf numFmtId="3" fontId="0" fillId="0" borderId="0" xfId="0" applyNumberFormat="1" applyFont="1" applyFill="1" applyAlignment="1">
      <alignment vertical="center"/>
    </xf>
    <xf numFmtId="173" fontId="0" fillId="0" borderId="0" xfId="0" applyNumberFormat="1" applyFill="1"/>
    <xf numFmtId="0" fontId="0" fillId="0" borderId="49" xfId="0" applyFont="1" applyFill="1" applyBorder="1" applyAlignment="1">
      <alignment vertical="center"/>
    </xf>
    <xf numFmtId="0" fontId="2" fillId="0" borderId="34" xfId="0" applyFont="1" applyFill="1" applyBorder="1"/>
    <xf numFmtId="6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13" fillId="0" borderId="0" xfId="4" applyFont="1" applyFill="1"/>
    <xf numFmtId="0" fontId="19" fillId="0" borderId="9" xfId="4" applyFont="1" applyFill="1" applyBorder="1"/>
    <xf numFmtId="0" fontId="19" fillId="0" borderId="7" xfId="4" applyFont="1" applyFill="1" applyBorder="1" applyAlignment="1">
      <alignment horizontal="center" vertical="center" wrapText="1"/>
    </xf>
    <xf numFmtId="0" fontId="19" fillId="0" borderId="6" xfId="4" applyFont="1" applyFill="1" applyBorder="1"/>
    <xf numFmtId="0" fontId="19" fillId="0" borderId="4" xfId="4" applyFont="1" applyFill="1" applyBorder="1"/>
    <xf numFmtId="166" fontId="19" fillId="0" borderId="0" xfId="4" applyNumberFormat="1" applyFont="1" applyFill="1" applyBorder="1"/>
    <xf numFmtId="0" fontId="2" fillId="0" borderId="46" xfId="0" applyFont="1" applyFill="1" applyBorder="1"/>
    <xf numFmtId="0" fontId="2" fillId="0" borderId="47" xfId="0" applyFont="1" applyFill="1" applyBorder="1"/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165" fontId="0" fillId="0" borderId="62" xfId="0" applyNumberFormat="1" applyFill="1" applyBorder="1"/>
    <xf numFmtId="0" fontId="0" fillId="0" borderId="0" xfId="0" applyFont="1" applyFill="1" applyBorder="1" applyAlignment="1">
      <alignment horizontal="center" wrapText="1"/>
    </xf>
    <xf numFmtId="0" fontId="0" fillId="0" borderId="47" xfId="0" applyFont="1" applyFill="1" applyBorder="1"/>
    <xf numFmtId="9" fontId="0" fillId="0" borderId="0" xfId="71" applyFont="1" applyFill="1"/>
    <xf numFmtId="165" fontId="0" fillId="0" borderId="0" xfId="71" applyNumberFormat="1" applyFont="1" applyFill="1"/>
    <xf numFmtId="8" fontId="0" fillId="0" borderId="0" xfId="0" applyNumberFormat="1" applyFont="1" applyFill="1" applyBorder="1"/>
    <xf numFmtId="171" fontId="0" fillId="0" borderId="0" xfId="0" applyNumberFormat="1" applyFont="1" applyFill="1" applyBorder="1"/>
    <xf numFmtId="0" fontId="4" fillId="0" borderId="48" xfId="0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5" fillId="0" borderId="0" xfId="0" quotePrefix="1" applyFont="1" applyFill="1" applyBorder="1"/>
    <xf numFmtId="0" fontId="3" fillId="0" borderId="0" xfId="0" applyFont="1" applyFill="1" applyBorder="1"/>
    <xf numFmtId="0" fontId="3" fillId="0" borderId="10" xfId="0" applyFont="1" applyFill="1" applyBorder="1"/>
    <xf numFmtId="0" fontId="15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16" fillId="0" borderId="0" xfId="0" applyFont="1" applyFill="1" applyBorder="1" applyAlignment="1">
      <alignment horizontal="centerContinuous"/>
    </xf>
    <xf numFmtId="0" fontId="15" fillId="0" borderId="0" xfId="0" applyFont="1" applyFill="1" applyBorder="1" applyAlignment="1">
      <alignment horizontal="centerContinuous"/>
    </xf>
    <xf numFmtId="0" fontId="3" fillId="0" borderId="14" xfId="0" applyFont="1" applyFill="1" applyBorder="1"/>
    <xf numFmtId="0" fontId="17" fillId="0" borderId="0" xfId="0" applyFont="1" applyFill="1" applyBorder="1" applyAlignment="1">
      <alignment horizontal="centerContinuous"/>
    </xf>
    <xf numFmtId="0" fontId="18" fillId="0" borderId="0" xfId="0" applyFont="1" applyFill="1" applyBorder="1" applyAlignment="1">
      <alignment horizontal="left"/>
    </xf>
    <xf numFmtId="0" fontId="2" fillId="0" borderId="0" xfId="0" applyFont="1" applyFill="1"/>
    <xf numFmtId="0" fontId="18" fillId="0" borderId="15" xfId="0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0" fontId="6" fillId="0" borderId="9" xfId="0" applyFont="1" applyFill="1" applyBorder="1"/>
    <xf numFmtId="0" fontId="21" fillId="0" borderId="19" xfId="0" applyFont="1" applyFill="1" applyBorder="1" applyAlignment="1">
      <alignment horizontal="center"/>
    </xf>
    <xf numFmtId="0" fontId="17" fillId="0" borderId="19" xfId="0" applyFont="1" applyFill="1" applyBorder="1" applyAlignment="1">
      <alignment horizontal="center"/>
    </xf>
    <xf numFmtId="167" fontId="3" fillId="0" borderId="8" xfId="0" applyNumberFormat="1" applyFont="1" applyFill="1" applyBorder="1"/>
    <xf numFmtId="167" fontId="3" fillId="0" borderId="7" xfId="0" applyNumberFormat="1" applyFont="1" applyFill="1" applyBorder="1"/>
    <xf numFmtId="167" fontId="3" fillId="0" borderId="0" xfId="0" applyNumberFormat="1" applyFont="1" applyFill="1" applyBorder="1"/>
    <xf numFmtId="0" fontId="6" fillId="0" borderId="6" xfId="0" applyFont="1" applyFill="1" applyBorder="1"/>
    <xf numFmtId="167" fontId="6" fillId="0" borderId="0" xfId="0" applyNumberFormat="1" applyFont="1" applyFill="1" applyBorder="1"/>
    <xf numFmtId="167" fontId="6" fillId="0" borderId="5" xfId="0" applyNumberFormat="1" applyFont="1" applyFill="1" applyBorder="1"/>
    <xf numFmtId="167" fontId="3" fillId="0" borderId="5" xfId="0" applyNumberFormat="1" applyFont="1" applyFill="1" applyBorder="1"/>
    <xf numFmtId="0" fontId="6" fillId="0" borderId="4" xfId="0" applyFont="1" applyFill="1" applyBorder="1"/>
    <xf numFmtId="167" fontId="3" fillId="0" borderId="3" xfId="0" applyNumberFormat="1" applyFont="1" applyFill="1" applyBorder="1"/>
    <xf numFmtId="167" fontId="3" fillId="0" borderId="2" xfId="0" applyNumberFormat="1" applyFont="1" applyFill="1" applyBorder="1"/>
    <xf numFmtId="9" fontId="0" fillId="0" borderId="0" xfId="71" applyNumberFormat="1" applyFont="1" applyFill="1"/>
    <xf numFmtId="0" fontId="3" fillId="0" borderId="25" xfId="0" applyFont="1" applyFill="1" applyBorder="1"/>
    <xf numFmtId="0" fontId="15" fillId="0" borderId="26" xfId="0" applyFont="1" applyFill="1" applyBorder="1"/>
    <xf numFmtId="0" fontId="3" fillId="0" borderId="27" xfId="0" applyFont="1" applyFill="1" applyBorder="1"/>
    <xf numFmtId="0" fontId="22" fillId="0" borderId="0" xfId="0" applyFont="1" applyFill="1"/>
    <xf numFmtId="0" fontId="13" fillId="0" borderId="15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3" fontId="0" fillId="0" borderId="35" xfId="0" applyNumberFormat="1" applyFont="1" applyFill="1" applyBorder="1" applyAlignment="1">
      <alignment vertical="center"/>
    </xf>
    <xf numFmtId="9" fontId="0" fillId="0" borderId="49" xfId="71" applyFont="1" applyFill="1" applyBorder="1" applyAlignment="1">
      <alignment vertical="center"/>
    </xf>
    <xf numFmtId="9" fontId="0" fillId="0" borderId="50" xfId="71" applyFont="1" applyFill="1" applyBorder="1" applyAlignment="1">
      <alignment vertical="center"/>
    </xf>
    <xf numFmtId="169" fontId="0" fillId="0" borderId="0" xfId="0" applyNumberFormat="1" applyFont="1" applyFill="1" applyBorder="1"/>
    <xf numFmtId="0" fontId="0" fillId="0" borderId="35" xfId="0" applyNumberFormat="1" applyFont="1" applyFill="1" applyBorder="1"/>
    <xf numFmtId="169" fontId="0" fillId="0" borderId="35" xfId="0" applyNumberFormat="1" applyFont="1" applyFill="1" applyBorder="1"/>
    <xf numFmtId="169" fontId="0" fillId="0" borderId="49" xfId="0" applyNumberFormat="1" applyFont="1" applyFill="1" applyBorder="1"/>
    <xf numFmtId="169" fontId="0" fillId="0" borderId="50" xfId="0" applyNumberFormat="1" applyFont="1" applyFill="1" applyBorder="1"/>
    <xf numFmtId="0" fontId="0" fillId="0" borderId="46" xfId="0" applyFont="1" applyFill="1" applyBorder="1"/>
    <xf numFmtId="169" fontId="2" fillId="0" borderId="0" xfId="0" applyNumberFormat="1" applyFont="1" applyFill="1" applyBorder="1"/>
    <xf numFmtId="0" fontId="2" fillId="0" borderId="35" xfId="0" applyNumberFormat="1" applyFont="1" applyFill="1" applyBorder="1"/>
    <xf numFmtId="3" fontId="0" fillId="0" borderId="35" xfId="0" applyNumberFormat="1" applyFont="1" applyFill="1" applyBorder="1"/>
    <xf numFmtId="0" fontId="12" fillId="0" borderId="46" xfId="0" applyFont="1" applyFill="1" applyBorder="1"/>
    <xf numFmtId="0" fontId="0" fillId="0" borderId="46" xfId="0" applyFill="1" applyBorder="1"/>
    <xf numFmtId="0" fontId="0" fillId="0" borderId="47" xfId="0" applyFill="1" applyBorder="1"/>
    <xf numFmtId="0" fontId="2" fillId="0" borderId="28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 wrapText="1"/>
    </xf>
    <xf numFmtId="44" fontId="0" fillId="0" borderId="0" xfId="0" applyNumberFormat="1" applyFill="1"/>
    <xf numFmtId="0" fontId="0" fillId="0" borderId="28" xfId="0" applyFill="1" applyBorder="1" applyAlignment="1">
      <alignment horizontal="center"/>
    </xf>
    <xf numFmtId="168" fontId="0" fillId="0" borderId="0" xfId="0" applyNumberFormat="1" applyFill="1" applyBorder="1"/>
    <xf numFmtId="168" fontId="0" fillId="0" borderId="34" xfId="0" applyNumberFormat="1" applyFill="1" applyBorder="1"/>
    <xf numFmtId="0" fontId="27" fillId="0" borderId="0" xfId="0" applyFont="1" applyFill="1"/>
    <xf numFmtId="0" fontId="28" fillId="0" borderId="0" xfId="0" applyFont="1" applyFill="1" applyAlignment="1"/>
    <xf numFmtId="6" fontId="0" fillId="0" borderId="3" xfId="0" applyNumberFormat="1" applyFont="1" applyFill="1" applyBorder="1"/>
    <xf numFmtId="167" fontId="19" fillId="0" borderId="7" xfId="4" applyNumberFormat="1" applyFont="1" applyFill="1" applyBorder="1"/>
    <xf numFmtId="167" fontId="19" fillId="0" borderId="5" xfId="4" applyNumberFormat="1" applyFont="1" applyFill="1" applyBorder="1"/>
    <xf numFmtId="167" fontId="19" fillId="0" borderId="2" xfId="4" applyNumberFormat="1" applyFont="1" applyFill="1" applyBorder="1"/>
    <xf numFmtId="0" fontId="2" fillId="0" borderId="36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wrapText="1"/>
    </xf>
    <xf numFmtId="0" fontId="0" fillId="0" borderId="34" xfId="0" applyFill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0" fillId="0" borderId="0" xfId="0" applyFont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28" fillId="0" borderId="0" xfId="0" applyFont="1" applyFill="1"/>
    <xf numFmtId="167" fontId="1" fillId="0" borderId="0" xfId="0" applyNumberFormat="1" applyFont="1" applyFill="1"/>
    <xf numFmtId="0" fontId="19" fillId="0" borderId="9" xfId="4" applyFont="1" applyFill="1" applyBorder="1" applyAlignment="1">
      <alignment horizontal="center"/>
    </xf>
    <xf numFmtId="0" fontId="2" fillId="0" borderId="48" xfId="0" applyFont="1" applyFill="1" applyBorder="1"/>
    <xf numFmtId="165" fontId="0" fillId="0" borderId="43" xfId="0" applyNumberFormat="1" applyFont="1" applyFill="1" applyBorder="1"/>
    <xf numFmtId="0" fontId="0" fillId="0" borderId="28" xfId="0" applyFont="1" applyFill="1" applyBorder="1" applyAlignment="1">
      <alignment horizontal="center"/>
    </xf>
    <xf numFmtId="165" fontId="0" fillId="0" borderId="54" xfId="70" applyNumberFormat="1" applyFont="1" applyFill="1" applyBorder="1"/>
    <xf numFmtId="165" fontId="36" fillId="0" borderId="50" xfId="70" applyNumberFormat="1" applyFont="1" applyFill="1" applyBorder="1"/>
    <xf numFmtId="165" fontId="35" fillId="0" borderId="0" xfId="0" applyNumberFormat="1" applyFont="1" applyFill="1"/>
    <xf numFmtId="0" fontId="0" fillId="0" borderId="0" xfId="0" applyFont="1" applyFill="1" applyAlignment="1">
      <alignment horizontal="right"/>
    </xf>
    <xf numFmtId="164" fontId="0" fillId="0" borderId="53" xfId="0" applyNumberFormat="1" applyFill="1" applyBorder="1" applyAlignment="1">
      <alignment horizontal="right"/>
    </xf>
    <xf numFmtId="164" fontId="0" fillId="0" borderId="3" xfId="0" applyNumberFormat="1" applyFill="1" applyBorder="1" applyAlignment="1">
      <alignment horizontal="right"/>
    </xf>
    <xf numFmtId="168" fontId="0" fillId="0" borderId="53" xfId="0" applyNumberFormat="1" applyFill="1" applyBorder="1"/>
    <xf numFmtId="168" fontId="0" fillId="0" borderId="3" xfId="0" applyNumberFormat="1" applyFill="1" applyBorder="1"/>
    <xf numFmtId="164" fontId="0" fillId="0" borderId="53" xfId="0" applyNumberFormat="1" applyFill="1" applyBorder="1"/>
    <xf numFmtId="165" fontId="0" fillId="0" borderId="53" xfId="0" applyNumberFormat="1" applyFill="1" applyBorder="1"/>
    <xf numFmtId="165" fontId="0" fillId="0" borderId="53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5" fontId="0" fillId="0" borderId="53" xfId="70" applyNumberFormat="1" applyFont="1" applyFill="1" applyBorder="1"/>
    <xf numFmtId="165" fontId="0" fillId="0" borderId="3" xfId="70" applyNumberFormat="1" applyFont="1" applyFill="1" applyBorder="1"/>
    <xf numFmtId="42" fontId="0" fillId="0" borderId="66" xfId="0" applyNumberFormat="1" applyFill="1" applyBorder="1" applyAlignment="1">
      <alignment horizontal="center"/>
    </xf>
    <xf numFmtId="165" fontId="0" fillId="0" borderId="66" xfId="0" applyNumberFormat="1" applyFill="1" applyBorder="1"/>
    <xf numFmtId="0" fontId="2" fillId="0" borderId="53" xfId="0" applyFont="1" applyFill="1" applyBorder="1" applyAlignment="1">
      <alignment horizontal="center"/>
    </xf>
    <xf numFmtId="164" fontId="0" fillId="0" borderId="3" xfId="1" applyNumberFormat="1" applyFont="1" applyFill="1" applyBorder="1"/>
    <xf numFmtId="164" fontId="0" fillId="0" borderId="54" xfId="1" applyNumberFormat="1" applyFont="1" applyFill="1" applyBorder="1"/>
    <xf numFmtId="3" fontId="0" fillId="0" borderId="3" xfId="0" applyNumberFormat="1" applyFont="1" applyFill="1" applyBorder="1"/>
    <xf numFmtId="164" fontId="0" fillId="0" borderId="3" xfId="0" applyNumberFormat="1" applyFont="1" applyFill="1" applyBorder="1" applyAlignment="1">
      <alignment horizontal="center"/>
    </xf>
    <xf numFmtId="164" fontId="0" fillId="0" borderId="54" xfId="0" applyNumberFormat="1" applyFont="1" applyFill="1" applyBorder="1" applyAlignment="1">
      <alignment horizontal="center"/>
    </xf>
    <xf numFmtId="164" fontId="0" fillId="0" borderId="3" xfId="0" applyNumberFormat="1" applyFont="1" applyFill="1" applyBorder="1"/>
    <xf numFmtId="0" fontId="2" fillId="0" borderId="42" xfId="0" applyFont="1" applyFill="1" applyBorder="1" applyAlignment="1">
      <alignment horizontal="center"/>
    </xf>
    <xf numFmtId="165" fontId="2" fillId="0" borderId="43" xfId="0" applyNumberFormat="1" applyFont="1" applyFill="1" applyBorder="1"/>
    <xf numFmtId="165" fontId="2" fillId="0" borderId="44" xfId="0" applyNumberFormat="1" applyFont="1" applyFill="1" applyBorder="1"/>
    <xf numFmtId="176" fontId="0" fillId="0" borderId="0" xfId="0" quotePrefix="1" applyNumberFormat="1" applyFont="1" applyFill="1" applyBorder="1"/>
    <xf numFmtId="177" fontId="0" fillId="0" borderId="49" xfId="70" applyNumberFormat="1" applyFont="1" applyFill="1" applyBorder="1" applyAlignment="1">
      <alignment horizontal="right"/>
    </xf>
    <xf numFmtId="0" fontId="30" fillId="0" borderId="36" xfId="0" applyFont="1" applyBorder="1"/>
    <xf numFmtId="0" fontId="33" fillId="0" borderId="38" xfId="0" applyFont="1" applyBorder="1" applyAlignment="1">
      <alignment horizontal="center"/>
    </xf>
    <xf numFmtId="0" fontId="33" fillId="0" borderId="58" xfId="0" applyFont="1" applyBorder="1"/>
    <xf numFmtId="165" fontId="30" fillId="0" borderId="59" xfId="0" applyNumberFormat="1" applyFont="1" applyBorder="1"/>
    <xf numFmtId="165" fontId="30" fillId="0" borderId="0" xfId="0" applyNumberFormat="1" applyFont="1"/>
    <xf numFmtId="0" fontId="33" fillId="0" borderId="60" xfId="0" applyFont="1" applyBorder="1"/>
    <xf numFmtId="0" fontId="37" fillId="4" borderId="15" xfId="0" applyFont="1" applyFill="1" applyBorder="1" applyAlignment="1">
      <alignment horizontal="center" vertical="center" wrapText="1"/>
    </xf>
    <xf numFmtId="0" fontId="38" fillId="0" borderId="15" xfId="0" applyFont="1" applyBorder="1"/>
    <xf numFmtId="0" fontId="30" fillId="0" borderId="78" xfId="0" applyFont="1" applyBorder="1" applyAlignment="1"/>
    <xf numFmtId="0" fontId="30" fillId="0" borderId="69" xfId="0" applyFont="1" applyBorder="1" applyAlignment="1"/>
    <xf numFmtId="0" fontId="30" fillId="0" borderId="15" xfId="0" applyFont="1" applyBorder="1" applyAlignment="1">
      <alignment horizontal="left" indent="1"/>
    </xf>
    <xf numFmtId="175" fontId="30" fillId="0" borderId="15" xfId="0" applyNumberFormat="1" applyFont="1" applyBorder="1"/>
    <xf numFmtId="0" fontId="30" fillId="0" borderId="15" xfId="0" applyFont="1" applyBorder="1"/>
    <xf numFmtId="0" fontId="34" fillId="0" borderId="15" xfId="0" applyFont="1" applyBorder="1"/>
    <xf numFmtId="175" fontId="33" fillId="0" borderId="15" xfId="0" applyNumberFormat="1" applyFont="1" applyBorder="1"/>
    <xf numFmtId="0" fontId="30" fillId="0" borderId="15" xfId="0" applyFont="1" applyBorder="1" applyAlignment="1">
      <alignment horizontal="right"/>
    </xf>
    <xf numFmtId="0" fontId="33" fillId="0" borderId="15" xfId="0" applyFont="1" applyBorder="1"/>
    <xf numFmtId="0" fontId="34" fillId="0" borderId="0" xfId="0" applyFont="1" applyAlignment="1">
      <alignment vertical="center"/>
    </xf>
    <xf numFmtId="164" fontId="40" fillId="0" borderId="0" xfId="1" applyNumberFormat="1" applyFont="1"/>
    <xf numFmtId="0" fontId="2" fillId="0" borderId="29" xfId="0" applyFont="1" applyFill="1" applyBorder="1" applyAlignment="1">
      <alignment horizontal="center" wrapText="1"/>
    </xf>
    <xf numFmtId="6" fontId="0" fillId="0" borderId="0" xfId="0" applyNumberFormat="1" applyFill="1" applyBorder="1" applyAlignment="1">
      <alignment horizontal="right"/>
    </xf>
    <xf numFmtId="171" fontId="0" fillId="0" borderId="0" xfId="0" applyNumberFormat="1" applyFill="1" applyBorder="1" applyAlignment="1">
      <alignment horizontal="right"/>
    </xf>
    <xf numFmtId="171" fontId="2" fillId="0" borderId="68" xfId="0" applyNumberFormat="1" applyFont="1" applyFill="1" applyBorder="1" applyAlignment="1">
      <alignment horizontal="center"/>
    </xf>
    <xf numFmtId="6" fontId="2" fillId="0" borderId="68" xfId="0" applyNumberFormat="1" applyFont="1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41" fillId="0" borderId="0" xfId="0" applyFont="1"/>
    <xf numFmtId="0" fontId="0" fillId="0" borderId="42" xfId="0" applyFill="1" applyBorder="1" applyAlignment="1">
      <alignment horizontal="center"/>
    </xf>
    <xf numFmtId="165" fontId="0" fillId="0" borderId="24" xfId="0" applyNumberFormat="1" applyFill="1" applyBorder="1"/>
    <xf numFmtId="0" fontId="0" fillId="0" borderId="36" xfId="0" applyFill="1" applyBorder="1" applyAlignment="1">
      <alignment horizontal="center" vertical="center" wrapText="1"/>
    </xf>
    <xf numFmtId="165" fontId="0" fillId="0" borderId="58" xfId="0" applyNumberFormat="1" applyFill="1" applyBorder="1"/>
    <xf numFmtId="165" fontId="0" fillId="0" borderId="80" xfId="0" applyNumberFormat="1" applyFill="1" applyBorder="1"/>
    <xf numFmtId="165" fontId="0" fillId="0" borderId="81" xfId="0" applyNumberFormat="1" applyFill="1" applyBorder="1"/>
    <xf numFmtId="174" fontId="0" fillId="0" borderId="0" xfId="0" applyNumberFormat="1" applyFill="1"/>
    <xf numFmtId="0" fontId="0" fillId="0" borderId="75" xfId="0" applyFill="1" applyBorder="1" applyAlignment="1">
      <alignment horizontal="center" vertical="center" wrapText="1"/>
    </xf>
    <xf numFmtId="164" fontId="0" fillId="0" borderId="24" xfId="0" applyNumberFormat="1" applyFill="1" applyBorder="1" applyAlignment="1">
      <alignment horizontal="center"/>
    </xf>
    <xf numFmtId="8" fontId="0" fillId="0" borderId="0" xfId="70" applyNumberFormat="1" applyFont="1" applyFill="1" applyBorder="1"/>
    <xf numFmtId="179" fontId="0" fillId="0" borderId="0" xfId="0" applyNumberFormat="1" applyFont="1" applyFill="1" applyBorder="1"/>
    <xf numFmtId="180" fontId="0" fillId="0" borderId="0" xfId="0" applyNumberFormat="1" applyFont="1" applyFill="1" applyBorder="1"/>
    <xf numFmtId="0" fontId="4" fillId="0" borderId="0" xfId="0" applyFont="1" applyFill="1" applyBorder="1"/>
    <xf numFmtId="0" fontId="0" fillId="0" borderId="5" xfId="0" applyFont="1" applyFill="1" applyBorder="1"/>
    <xf numFmtId="168" fontId="30" fillId="0" borderId="59" xfId="1" applyNumberFormat="1" applyFont="1" applyBorder="1"/>
    <xf numFmtId="174" fontId="30" fillId="0" borderId="61" xfId="71" applyNumberFormat="1" applyFont="1" applyBorder="1" applyAlignment="1">
      <alignment horizontal="center"/>
    </xf>
    <xf numFmtId="0" fontId="24" fillId="0" borderId="28" xfId="0" applyFont="1" applyFill="1" applyBorder="1"/>
    <xf numFmtId="0" fontId="0" fillId="0" borderId="29" xfId="0" applyFont="1" applyBorder="1"/>
    <xf numFmtId="0" fontId="0" fillId="0" borderId="30" xfId="0" applyFont="1" applyBorder="1"/>
    <xf numFmtId="181" fontId="30" fillId="0" borderId="0" xfId="0" applyNumberFormat="1" applyFont="1"/>
    <xf numFmtId="0" fontId="18" fillId="0" borderId="69" xfId="0" applyFont="1" applyFill="1" applyBorder="1" applyAlignment="1">
      <alignment horizontal="center"/>
    </xf>
    <xf numFmtId="167" fontId="3" fillId="0" borderId="20" xfId="4" applyNumberFormat="1" applyBorder="1"/>
    <xf numFmtId="167" fontId="3" fillId="0" borderId="21" xfId="4" applyNumberFormat="1" applyBorder="1"/>
    <xf numFmtId="167" fontId="3" fillId="0" borderId="22" xfId="4" applyNumberFormat="1" applyBorder="1"/>
    <xf numFmtId="2" fontId="3" fillId="0" borderId="23" xfId="4" applyNumberFormat="1" applyBorder="1"/>
    <xf numFmtId="167" fontId="3" fillId="0" borderId="90" xfId="4" applyNumberFormat="1" applyBorder="1"/>
    <xf numFmtId="9" fontId="0" fillId="55" borderId="15" xfId="0" applyNumberFormat="1" applyFont="1" applyFill="1" applyBorder="1" applyAlignment="1">
      <alignment horizontal="center"/>
    </xf>
    <xf numFmtId="3" fontId="0" fillId="55" borderId="15" xfId="0" applyNumberFormat="1" applyFont="1" applyFill="1" applyBorder="1" applyAlignment="1">
      <alignment horizontal="center"/>
    </xf>
    <xf numFmtId="0" fontId="0" fillId="55" borderId="15" xfId="0" applyFont="1" applyFill="1" applyBorder="1"/>
    <xf numFmtId="9" fontId="0" fillId="55" borderId="24" xfId="0" applyNumberFormat="1" applyFont="1" applyFill="1" applyBorder="1" applyAlignment="1">
      <alignment horizontal="center" vertical="center" wrapText="1"/>
    </xf>
    <xf numFmtId="1" fontId="0" fillId="55" borderId="15" xfId="0" applyNumberFormat="1" applyFont="1" applyFill="1" applyBorder="1" applyAlignment="1">
      <alignment horizontal="center"/>
    </xf>
    <xf numFmtId="1" fontId="0" fillId="55" borderId="24" xfId="0" applyNumberFormat="1" applyFont="1" applyFill="1" applyBorder="1" applyAlignment="1">
      <alignment horizontal="center" vertical="center" wrapText="1"/>
    </xf>
    <xf numFmtId="0" fontId="0" fillId="55" borderId="24" xfId="0" applyFont="1" applyFill="1" applyBorder="1" applyAlignment="1">
      <alignment horizontal="center" vertical="center" wrapText="1"/>
    </xf>
    <xf numFmtId="0" fontId="0" fillId="55" borderId="24" xfId="0" applyFont="1" applyFill="1" applyBorder="1" applyAlignment="1">
      <alignment vertical="center" wrapText="1"/>
    </xf>
    <xf numFmtId="9" fontId="0" fillId="0" borderId="24" xfId="0" applyNumberFormat="1" applyFont="1" applyFill="1" applyBorder="1" applyAlignment="1">
      <alignment horizontal="center" vertical="center" wrapText="1"/>
    </xf>
    <xf numFmtId="1" fontId="0" fillId="0" borderId="24" xfId="0" applyNumberFormat="1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167" fontId="3" fillId="0" borderId="20" xfId="274" applyNumberFormat="1" applyBorder="1"/>
    <xf numFmtId="167" fontId="3" fillId="0" borderId="21" xfId="274" applyNumberFormat="1" applyBorder="1"/>
    <xf numFmtId="167" fontId="3" fillId="0" borderId="22" xfId="274" applyNumberFormat="1" applyBorder="1"/>
    <xf numFmtId="2" fontId="3" fillId="0" borderId="23" xfId="274" applyNumberFormat="1" applyBorder="1"/>
    <xf numFmtId="167" fontId="3" fillId="0" borderId="90" xfId="274" applyNumberFormat="1" applyBorder="1"/>
    <xf numFmtId="0" fontId="0" fillId="0" borderId="0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2" fillId="0" borderId="48" xfId="0" applyFont="1" applyFill="1" applyBorder="1" applyAlignment="1">
      <alignment horizontal="center"/>
    </xf>
    <xf numFmtId="37" fontId="19" fillId="0" borderId="49" xfId="1" applyNumberFormat="1" applyFont="1" applyFill="1" applyBorder="1"/>
    <xf numFmtId="37" fontId="19" fillId="0" borderId="50" xfId="1" applyNumberFormat="1" applyFont="1" applyFill="1" applyBorder="1"/>
    <xf numFmtId="164" fontId="0" fillId="0" borderId="49" xfId="1" applyNumberFormat="1" applyFont="1" applyFill="1" applyBorder="1"/>
    <xf numFmtId="165" fontId="0" fillId="0" borderId="62" xfId="0" applyNumberFormat="1" applyFont="1" applyFill="1" applyBorder="1"/>
    <xf numFmtId="165" fontId="0" fillId="0" borderId="64" xfId="0" applyNumberFormat="1" applyFill="1" applyBorder="1"/>
    <xf numFmtId="165" fontId="43" fillId="0" borderId="31" xfId="0" applyNumberFormat="1" applyFont="1" applyFill="1" applyBorder="1"/>
    <xf numFmtId="165" fontId="43" fillId="0" borderId="64" xfId="0" applyNumberFormat="1" applyFont="1" applyFill="1" applyBorder="1"/>
    <xf numFmtId="0" fontId="2" fillId="0" borderId="28" xfId="0" applyFont="1" applyFill="1" applyBorder="1" applyAlignment="1">
      <alignment horizontal="center" wrapText="1"/>
    </xf>
    <xf numFmtId="0" fontId="2" fillId="0" borderId="75" xfId="0" applyFont="1" applyFill="1" applyBorder="1" applyAlignment="1">
      <alignment horizontal="center" wrapText="1"/>
    </xf>
    <xf numFmtId="0" fontId="32" fillId="0" borderId="0" xfId="0" applyFont="1" applyAlignment="1">
      <alignment horizontal="center"/>
    </xf>
    <xf numFmtId="0" fontId="4" fillId="0" borderId="0" xfId="0" applyFont="1" applyFill="1" applyAlignment="1">
      <alignment horizontal="right"/>
    </xf>
    <xf numFmtId="165" fontId="0" fillId="0" borderId="0" xfId="70" applyNumberFormat="1" applyFont="1" applyFill="1"/>
    <xf numFmtId="0" fontId="0" fillId="0" borderId="0" xfId="0" applyFont="1" applyFill="1" applyAlignment="1">
      <alignment horizontal="left"/>
    </xf>
    <xf numFmtId="165" fontId="0" fillId="0" borderId="0" xfId="0" applyNumberFormat="1" applyFont="1" applyFill="1"/>
    <xf numFmtId="165" fontId="35" fillId="0" borderId="35" xfId="0" applyNumberFormat="1" applyFont="1" applyFill="1" applyBorder="1"/>
    <xf numFmtId="165" fontId="35" fillId="0" borderId="54" xfId="0" applyNumberFormat="1" applyFont="1" applyFill="1" applyBorder="1"/>
    <xf numFmtId="0" fontId="32" fillId="0" borderId="0" xfId="0" applyFont="1" applyAlignment="1">
      <alignment horizontal="center"/>
    </xf>
    <xf numFmtId="44" fontId="0" fillId="0" borderId="0" xfId="0" applyNumberFormat="1" applyFont="1" applyFill="1"/>
    <xf numFmtId="0" fontId="30" fillId="0" borderId="34" xfId="0" applyFont="1" applyBorder="1"/>
    <xf numFmtId="165" fontId="30" fillId="0" borderId="34" xfId="0" applyNumberFormat="1" applyFont="1" applyBorder="1"/>
    <xf numFmtId="0" fontId="30" fillId="0" borderId="34" xfId="0" applyFont="1" applyBorder="1" applyAlignment="1">
      <alignment horizontal="center"/>
    </xf>
    <xf numFmtId="0" fontId="30" fillId="0" borderId="0" xfId="0" applyFont="1" applyBorder="1"/>
    <xf numFmtId="0" fontId="42" fillId="0" borderId="49" xfId="0" applyFont="1" applyBorder="1" applyAlignment="1">
      <alignment horizontal="center"/>
    </xf>
    <xf numFmtId="0" fontId="37" fillId="4" borderId="41" xfId="0" applyFont="1" applyFill="1" applyBorder="1" applyAlignment="1">
      <alignment horizontal="center" vertical="center" wrapText="1"/>
    </xf>
    <xf numFmtId="0" fontId="37" fillId="4" borderId="24" xfId="0" applyFont="1" applyFill="1" applyBorder="1" applyAlignment="1">
      <alignment horizontal="center" vertical="center" wrapText="1"/>
    </xf>
    <xf numFmtId="0" fontId="37" fillId="4" borderId="78" xfId="0" applyFont="1" applyFill="1" applyBorder="1" applyAlignment="1">
      <alignment horizontal="center" vertical="center" wrapText="1"/>
    </xf>
    <xf numFmtId="0" fontId="37" fillId="4" borderId="69" xfId="0" applyFont="1" applyFill="1" applyBorder="1" applyAlignment="1">
      <alignment horizontal="center" vertical="center" wrapText="1"/>
    </xf>
    <xf numFmtId="0" fontId="38" fillId="0" borderId="78" xfId="0" applyFont="1" applyBorder="1" applyAlignment="1">
      <alignment horizontal="left"/>
    </xf>
    <xf numFmtId="0" fontId="38" fillId="0" borderId="79" xfId="0" applyFont="1" applyBorder="1" applyAlignment="1">
      <alignment horizontal="left"/>
    </xf>
    <xf numFmtId="0" fontId="38" fillId="0" borderId="69" xfId="0" applyFont="1" applyBorder="1" applyAlignment="1">
      <alignment horizontal="left"/>
    </xf>
    <xf numFmtId="0" fontId="39" fillId="0" borderId="8" xfId="0" applyFont="1" applyBorder="1" applyAlignment="1">
      <alignment horizontal="left" vertical="top" wrapText="1"/>
    </xf>
    <xf numFmtId="0" fontId="39" fillId="0" borderId="0" xfId="0" applyFont="1" applyBorder="1" applyAlignment="1">
      <alignment horizontal="left" vertical="top" wrapText="1"/>
    </xf>
    <xf numFmtId="178" fontId="33" fillId="0" borderId="78" xfId="0" applyNumberFormat="1" applyFont="1" applyBorder="1" applyAlignment="1">
      <alignment horizontal="center"/>
    </xf>
    <xf numFmtId="178" fontId="33" fillId="0" borderId="69" xfId="0" applyNumberFormat="1" applyFont="1" applyBorder="1" applyAlignment="1">
      <alignment horizontal="center"/>
    </xf>
    <xf numFmtId="174" fontId="33" fillId="0" borderId="78" xfId="71" applyNumberFormat="1" applyFont="1" applyFill="1" applyBorder="1" applyAlignment="1">
      <alignment horizontal="center"/>
    </xf>
    <xf numFmtId="174" fontId="33" fillId="0" borderId="69" xfId="71" applyNumberFormat="1" applyFont="1" applyFill="1" applyBorder="1" applyAlignment="1">
      <alignment horizontal="center"/>
    </xf>
    <xf numFmtId="0" fontId="0" fillId="0" borderId="48" xfId="0" applyFont="1" applyFill="1" applyBorder="1" applyAlignment="1">
      <alignment horizontal="left" wrapText="1"/>
    </xf>
    <xf numFmtId="0" fontId="0" fillId="0" borderId="49" xfId="0" applyFont="1" applyFill="1" applyBorder="1" applyAlignment="1">
      <alignment horizontal="left" wrapText="1"/>
    </xf>
    <xf numFmtId="0" fontId="0" fillId="0" borderId="5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32" fillId="0" borderId="0" xfId="0" applyFont="1" applyAlignment="1">
      <alignment horizontal="center"/>
    </xf>
    <xf numFmtId="0" fontId="10" fillId="0" borderId="45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0" fillId="0" borderId="65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25" fillId="0" borderId="71" xfId="0" applyFont="1" applyFill="1" applyBorder="1" applyAlignment="1">
      <alignment horizontal="center" vertical="center"/>
    </xf>
    <xf numFmtId="0" fontId="25" fillId="0" borderId="72" xfId="0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horizontal="center"/>
    </xf>
    <xf numFmtId="0" fontId="25" fillId="0" borderId="49" xfId="0" applyFont="1" applyFill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9" fillId="0" borderId="71" xfId="0" applyFont="1" applyBorder="1" applyAlignment="1">
      <alignment horizontal="center"/>
    </xf>
    <xf numFmtId="0" fontId="9" fillId="0" borderId="72" xfId="0" applyFont="1" applyBorder="1" applyAlignment="1">
      <alignment horizontal="center"/>
    </xf>
    <xf numFmtId="0" fontId="9" fillId="0" borderId="77" xfId="0" applyFont="1" applyBorder="1" applyAlignment="1">
      <alignment horizontal="center"/>
    </xf>
    <xf numFmtId="0" fontId="25" fillId="0" borderId="0" xfId="0" applyFont="1" applyFill="1" applyBorder="1" applyAlignment="1">
      <alignment horizontal="center"/>
    </xf>
  </cellXfs>
  <cellStyles count="344">
    <cellStyle name="20% - Accent1 2" xfId="72" xr:uid="{00000000-0005-0000-0000-000000000000}"/>
    <cellStyle name="20% - Accent2 2" xfId="73" xr:uid="{00000000-0005-0000-0000-000001000000}"/>
    <cellStyle name="20% - Accent3 2" xfId="74" xr:uid="{00000000-0005-0000-0000-000002000000}"/>
    <cellStyle name="20% - Accent4 2" xfId="75" xr:uid="{00000000-0005-0000-0000-000003000000}"/>
    <cellStyle name="20% - Accent5 2" xfId="76" xr:uid="{00000000-0005-0000-0000-000004000000}"/>
    <cellStyle name="20% - Accent6 2" xfId="77" xr:uid="{00000000-0005-0000-0000-000005000000}"/>
    <cellStyle name="20% - Accent6 3" xfId="78" xr:uid="{00000000-0005-0000-0000-000006000000}"/>
    <cellStyle name="40% - Accent1 2" xfId="79" xr:uid="{00000000-0005-0000-0000-000007000000}"/>
    <cellStyle name="40% - Accent2 2" xfId="80" xr:uid="{00000000-0005-0000-0000-000008000000}"/>
    <cellStyle name="40% - Accent2 2 2" xfId="81" xr:uid="{00000000-0005-0000-0000-000009000000}"/>
    <cellStyle name="40% - Accent2 2 3" xfId="82" xr:uid="{00000000-0005-0000-0000-00000A000000}"/>
    <cellStyle name="40% - Accent2 2 4" xfId="83" xr:uid="{00000000-0005-0000-0000-00000B000000}"/>
    <cellStyle name="40% - Accent3 2" xfId="84" xr:uid="{00000000-0005-0000-0000-00000C000000}"/>
    <cellStyle name="40% - Accent4 2" xfId="85" xr:uid="{00000000-0005-0000-0000-00000D000000}"/>
    <cellStyle name="40% - Accent5 2" xfId="86" xr:uid="{00000000-0005-0000-0000-00000E000000}"/>
    <cellStyle name="40% - Accent6 2" xfId="87" xr:uid="{00000000-0005-0000-0000-00000F000000}"/>
    <cellStyle name="508Table-Start" xfId="88" xr:uid="{00000000-0005-0000-0000-000010000000}"/>
    <cellStyle name="508Table-Stop" xfId="89" xr:uid="{00000000-0005-0000-0000-000011000000}"/>
    <cellStyle name="60% - Accent1 2" xfId="90" xr:uid="{00000000-0005-0000-0000-000012000000}"/>
    <cellStyle name="60% - Accent2 2" xfId="91" xr:uid="{00000000-0005-0000-0000-000013000000}"/>
    <cellStyle name="60% - Accent3 2" xfId="92" xr:uid="{00000000-0005-0000-0000-000014000000}"/>
    <cellStyle name="60% - Accent4 2" xfId="93" xr:uid="{00000000-0005-0000-0000-000015000000}"/>
    <cellStyle name="60% - Accent5 2" xfId="94" xr:uid="{00000000-0005-0000-0000-000016000000}"/>
    <cellStyle name="60% - Accent6 2" xfId="95" xr:uid="{00000000-0005-0000-0000-000017000000}"/>
    <cellStyle name="Accent1 2" xfId="96" xr:uid="{00000000-0005-0000-0000-000018000000}"/>
    <cellStyle name="Accent1 2 2" xfId="97" xr:uid="{00000000-0005-0000-0000-000019000000}"/>
    <cellStyle name="Accent1 2 3" xfId="98" xr:uid="{00000000-0005-0000-0000-00001A000000}"/>
    <cellStyle name="Accent1 2 4" xfId="99" xr:uid="{00000000-0005-0000-0000-00001B000000}"/>
    <cellStyle name="Accent1 2 5" xfId="100" xr:uid="{00000000-0005-0000-0000-00001C000000}"/>
    <cellStyle name="Accent1 2 6" xfId="101" xr:uid="{00000000-0005-0000-0000-00001D000000}"/>
    <cellStyle name="Accent1 3" xfId="102" xr:uid="{00000000-0005-0000-0000-00001E000000}"/>
    <cellStyle name="Accent1 4" xfId="103" xr:uid="{00000000-0005-0000-0000-00001F000000}"/>
    <cellStyle name="Accent2 2" xfId="104" xr:uid="{00000000-0005-0000-0000-000020000000}"/>
    <cellStyle name="Accent2 2 2" xfId="105" xr:uid="{00000000-0005-0000-0000-000021000000}"/>
    <cellStyle name="Accent2 2 3" xfId="106" xr:uid="{00000000-0005-0000-0000-000022000000}"/>
    <cellStyle name="Accent2 2 4" xfId="107" xr:uid="{00000000-0005-0000-0000-000023000000}"/>
    <cellStyle name="Accent2 2 5" xfId="108" xr:uid="{00000000-0005-0000-0000-000024000000}"/>
    <cellStyle name="Accent2 3" xfId="109" xr:uid="{00000000-0005-0000-0000-000025000000}"/>
    <cellStyle name="Accent2 4" xfId="110" xr:uid="{00000000-0005-0000-0000-000026000000}"/>
    <cellStyle name="Accent2 5" xfId="111" xr:uid="{00000000-0005-0000-0000-000027000000}"/>
    <cellStyle name="Accent3 2" xfId="112" xr:uid="{00000000-0005-0000-0000-000028000000}"/>
    <cellStyle name="Accent3 2 2" xfId="113" xr:uid="{00000000-0005-0000-0000-000029000000}"/>
    <cellStyle name="Accent3 2 3" xfId="114" xr:uid="{00000000-0005-0000-0000-00002A000000}"/>
    <cellStyle name="Accent3 2 4" xfId="115" xr:uid="{00000000-0005-0000-0000-00002B000000}"/>
    <cellStyle name="Accent3 3" xfId="116" xr:uid="{00000000-0005-0000-0000-00002C000000}"/>
    <cellStyle name="Accent3 4" xfId="117" xr:uid="{00000000-0005-0000-0000-00002D000000}"/>
    <cellStyle name="Accent4 2" xfId="118" xr:uid="{00000000-0005-0000-0000-00002E000000}"/>
    <cellStyle name="Accent4 2 2" xfId="119" xr:uid="{00000000-0005-0000-0000-00002F000000}"/>
    <cellStyle name="Accent4 2 3" xfId="120" xr:uid="{00000000-0005-0000-0000-000030000000}"/>
    <cellStyle name="Accent4 2 4" xfId="121" xr:uid="{00000000-0005-0000-0000-000031000000}"/>
    <cellStyle name="Accent5 2" xfId="122" xr:uid="{00000000-0005-0000-0000-000032000000}"/>
    <cellStyle name="Accent6 2" xfId="123" xr:uid="{00000000-0005-0000-0000-000033000000}"/>
    <cellStyle name="Arial 11" xfId="124" xr:uid="{00000000-0005-0000-0000-000034000000}"/>
    <cellStyle name="Bad 2" xfId="5" xr:uid="{00000000-0005-0000-0000-000000000000}"/>
    <cellStyle name="Bad 2 2" xfId="125" xr:uid="{00000000-0005-0000-0000-000035000000}"/>
    <cellStyle name="Bad 3" xfId="126" xr:uid="{00000000-0005-0000-0000-000036000000}"/>
    <cellStyle name="Body: normal cell" xfId="127" xr:uid="{00000000-0005-0000-0000-000037000000}"/>
    <cellStyle name="Calculation 2" xfId="128" xr:uid="{00000000-0005-0000-0000-000038000000}"/>
    <cellStyle name="Calculation 2 2" xfId="129" xr:uid="{00000000-0005-0000-0000-000039000000}"/>
    <cellStyle name="Calculation 3" xfId="130" xr:uid="{00000000-0005-0000-0000-00003A000000}"/>
    <cellStyle name="Calculation 4" xfId="131" xr:uid="{00000000-0005-0000-0000-00003B000000}"/>
    <cellStyle name="Check Cell 2" xfId="132" xr:uid="{00000000-0005-0000-0000-00003C000000}"/>
    <cellStyle name="CHlevel1" xfId="133" xr:uid="{00000000-0005-0000-0000-00003D000000}"/>
    <cellStyle name="CHlevel2" xfId="134" xr:uid="{00000000-0005-0000-0000-00003E000000}"/>
    <cellStyle name="CHlevel3" xfId="135" xr:uid="{00000000-0005-0000-0000-00003F000000}"/>
    <cellStyle name="CHlevel4" xfId="136" xr:uid="{00000000-0005-0000-0000-000040000000}"/>
    <cellStyle name="Column heading" xfId="137" xr:uid="{00000000-0005-0000-0000-000041000000}"/>
    <cellStyle name="Comma" xfId="1" builtinId="3"/>
    <cellStyle name="Comma 2" xfId="6" xr:uid="{00000000-0005-0000-0000-000002000000}"/>
    <cellStyle name="Comma 2 2" xfId="139" xr:uid="{00000000-0005-0000-0000-000044000000}"/>
    <cellStyle name="Comma 2 3" xfId="140" xr:uid="{00000000-0005-0000-0000-000045000000}"/>
    <cellStyle name="Comma 2 4" xfId="138" xr:uid="{00000000-0005-0000-0000-000043000000}"/>
    <cellStyle name="Comma 3" xfId="7" xr:uid="{00000000-0005-0000-0000-000003000000}"/>
    <cellStyle name="Comma 3 2" xfId="142" xr:uid="{00000000-0005-0000-0000-000047000000}"/>
    <cellStyle name="Comma 3 3" xfId="141" xr:uid="{00000000-0005-0000-0000-000046000000}"/>
    <cellStyle name="Comma 4" xfId="8" xr:uid="{00000000-0005-0000-0000-000004000000}"/>
    <cellStyle name="Comma 4 2" xfId="144" xr:uid="{00000000-0005-0000-0000-000049000000}"/>
    <cellStyle name="Comma 4 3" xfId="143" xr:uid="{00000000-0005-0000-0000-000048000000}"/>
    <cellStyle name="Comma 5" xfId="9" xr:uid="{00000000-0005-0000-0000-000005000000}"/>
    <cellStyle name="Comma 5 2" xfId="145" xr:uid="{00000000-0005-0000-0000-00004A000000}"/>
    <cellStyle name="Comma 6" xfId="10" xr:uid="{00000000-0005-0000-0000-000006000000}"/>
    <cellStyle name="Comma 6 2" xfId="146" xr:uid="{00000000-0005-0000-0000-00004B000000}"/>
    <cellStyle name="Comma 7" xfId="147" xr:uid="{00000000-0005-0000-0000-00004C000000}"/>
    <cellStyle name="Comma0" xfId="148" xr:uid="{00000000-0005-0000-0000-00004D000000}"/>
    <cellStyle name="Corner heading" xfId="149" xr:uid="{00000000-0005-0000-0000-00004E000000}"/>
    <cellStyle name="Currency" xfId="70" builtinId="4"/>
    <cellStyle name="Currency 2" xfId="3" xr:uid="{00000000-0005-0000-0000-000008000000}"/>
    <cellStyle name="Currency 2 10" xfId="11" xr:uid="{00000000-0005-0000-0000-000009000000}"/>
    <cellStyle name="Currency 2 11" xfId="12" xr:uid="{00000000-0005-0000-0000-00000A000000}"/>
    <cellStyle name="Currency 2 12" xfId="13" xr:uid="{00000000-0005-0000-0000-00000B000000}"/>
    <cellStyle name="Currency 2 13" xfId="14" xr:uid="{00000000-0005-0000-0000-00000C000000}"/>
    <cellStyle name="Currency 2 14" xfId="15" xr:uid="{00000000-0005-0000-0000-00000D000000}"/>
    <cellStyle name="Currency 2 15" xfId="16" xr:uid="{00000000-0005-0000-0000-00000E000000}"/>
    <cellStyle name="Currency 2 16" xfId="17" xr:uid="{00000000-0005-0000-0000-00000F000000}"/>
    <cellStyle name="Currency 2 17" xfId="18" xr:uid="{00000000-0005-0000-0000-000010000000}"/>
    <cellStyle name="Currency 2 2" xfId="19" xr:uid="{00000000-0005-0000-0000-000011000000}"/>
    <cellStyle name="Currency 2 2 2" xfId="151" xr:uid="{00000000-0005-0000-0000-000052000000}"/>
    <cellStyle name="Currency 2 2 3" xfId="150" xr:uid="{00000000-0005-0000-0000-000051000000}"/>
    <cellStyle name="Currency 2 3" xfId="20" xr:uid="{00000000-0005-0000-0000-000012000000}"/>
    <cellStyle name="Currency 2 3 2" xfId="152" xr:uid="{00000000-0005-0000-0000-000053000000}"/>
    <cellStyle name="Currency 2 4" xfId="21" xr:uid="{00000000-0005-0000-0000-000013000000}"/>
    <cellStyle name="Currency 2 5" xfId="22" xr:uid="{00000000-0005-0000-0000-000014000000}"/>
    <cellStyle name="Currency 2 6" xfId="23" xr:uid="{00000000-0005-0000-0000-000015000000}"/>
    <cellStyle name="Currency 2 7" xfId="24" xr:uid="{00000000-0005-0000-0000-000016000000}"/>
    <cellStyle name="Currency 2 8" xfId="25" xr:uid="{00000000-0005-0000-0000-000017000000}"/>
    <cellStyle name="Currency 2 9" xfId="26" xr:uid="{00000000-0005-0000-0000-000018000000}"/>
    <cellStyle name="Currency 3" xfId="27" xr:uid="{00000000-0005-0000-0000-000019000000}"/>
    <cellStyle name="Currency 3 2" xfId="153" xr:uid="{00000000-0005-0000-0000-000054000000}"/>
    <cellStyle name="Currency 4" xfId="28" xr:uid="{00000000-0005-0000-0000-00001A000000}"/>
    <cellStyle name="Currency 4 2" xfId="154" xr:uid="{00000000-0005-0000-0000-000055000000}"/>
    <cellStyle name="Currency 5" xfId="155" xr:uid="{00000000-0005-0000-0000-000056000000}"/>
    <cellStyle name="Currency 6" xfId="156" xr:uid="{00000000-0005-0000-0000-000057000000}"/>
    <cellStyle name="Currency 7" xfId="157" xr:uid="{00000000-0005-0000-0000-000058000000}"/>
    <cellStyle name="Currency0" xfId="158" xr:uid="{00000000-0005-0000-0000-000059000000}"/>
    <cellStyle name="Data" xfId="159" xr:uid="{00000000-0005-0000-0000-00005A000000}"/>
    <cellStyle name="Data 2" xfId="160" xr:uid="{00000000-0005-0000-0000-00005B000000}"/>
    <cellStyle name="Data no deci" xfId="161" xr:uid="{00000000-0005-0000-0000-00005C000000}"/>
    <cellStyle name="Data Superscript" xfId="162" xr:uid="{00000000-0005-0000-0000-00005D000000}"/>
    <cellStyle name="Data_1-1A-Regular" xfId="163" xr:uid="{00000000-0005-0000-0000-00005E000000}"/>
    <cellStyle name="Data-one deci" xfId="164" xr:uid="{00000000-0005-0000-0000-00005F000000}"/>
    <cellStyle name="Date" xfId="165" xr:uid="{00000000-0005-0000-0000-000060000000}"/>
    <cellStyle name="Explanatory Text 2" xfId="166" xr:uid="{00000000-0005-0000-0000-000061000000}"/>
    <cellStyle name="Fixed" xfId="167" xr:uid="{00000000-0005-0000-0000-000062000000}"/>
    <cellStyle name="Good 2" xfId="168" xr:uid="{00000000-0005-0000-0000-000063000000}"/>
    <cellStyle name="Grey" xfId="169" xr:uid="{00000000-0005-0000-0000-000064000000}"/>
    <cellStyle name="Heading 1 2" xfId="170" xr:uid="{00000000-0005-0000-0000-000065000000}"/>
    <cellStyle name="Heading 2 2" xfId="171" xr:uid="{00000000-0005-0000-0000-000066000000}"/>
    <cellStyle name="Heading 2 2 2" xfId="172" xr:uid="{00000000-0005-0000-0000-000067000000}"/>
    <cellStyle name="Heading 2 3" xfId="173" xr:uid="{00000000-0005-0000-0000-000068000000}"/>
    <cellStyle name="Heading 2 4" xfId="174" xr:uid="{00000000-0005-0000-0000-000069000000}"/>
    <cellStyle name="Heading 3 2" xfId="175" xr:uid="{00000000-0005-0000-0000-00006A000000}"/>
    <cellStyle name="Heading 4 2" xfId="176" xr:uid="{00000000-0005-0000-0000-00006B000000}"/>
    <cellStyle name="Hed Side" xfId="177" xr:uid="{00000000-0005-0000-0000-00006C000000}"/>
    <cellStyle name="Hed Side 2" xfId="178" xr:uid="{00000000-0005-0000-0000-00006D000000}"/>
    <cellStyle name="Hed Side bold" xfId="179" xr:uid="{00000000-0005-0000-0000-00006E000000}"/>
    <cellStyle name="Hed Side Indent" xfId="180" xr:uid="{00000000-0005-0000-0000-00006F000000}"/>
    <cellStyle name="Hed Side Regular" xfId="181" xr:uid="{00000000-0005-0000-0000-000070000000}"/>
    <cellStyle name="Hed Side_1-1A-Regular" xfId="182" xr:uid="{00000000-0005-0000-0000-000071000000}"/>
    <cellStyle name="Hed Top" xfId="183" xr:uid="{00000000-0005-0000-0000-000072000000}"/>
    <cellStyle name="Hed Top - SECTION" xfId="184" xr:uid="{00000000-0005-0000-0000-000073000000}"/>
    <cellStyle name="Hed Top 2" xfId="185" xr:uid="{00000000-0005-0000-0000-000074000000}"/>
    <cellStyle name="Hed Top_3-new4" xfId="186" xr:uid="{00000000-0005-0000-0000-000075000000}"/>
    <cellStyle name="Hyperlink 2" xfId="187" xr:uid="{00000000-0005-0000-0000-000077000000}"/>
    <cellStyle name="Hyperlink 2 2" xfId="188" xr:uid="{00000000-0005-0000-0000-000078000000}"/>
    <cellStyle name="Hyperlink 3" xfId="189" xr:uid="{00000000-0005-0000-0000-000079000000}"/>
    <cellStyle name="Hyperlink 4" xfId="190" xr:uid="{00000000-0005-0000-0000-00007A000000}"/>
    <cellStyle name="Input [yellow]" xfId="191" xr:uid="{00000000-0005-0000-0000-00007B000000}"/>
    <cellStyle name="Input 10" xfId="192" xr:uid="{00000000-0005-0000-0000-00007C000000}"/>
    <cellStyle name="Input 11" xfId="193" xr:uid="{00000000-0005-0000-0000-00007D000000}"/>
    <cellStyle name="Input 12" xfId="194" xr:uid="{00000000-0005-0000-0000-00007E000000}"/>
    <cellStyle name="Input 13" xfId="195" xr:uid="{00000000-0005-0000-0000-00007F000000}"/>
    <cellStyle name="Input 14" xfId="196" xr:uid="{00000000-0005-0000-0000-000080000000}"/>
    <cellStyle name="Input 15" xfId="197" xr:uid="{00000000-0005-0000-0000-000081000000}"/>
    <cellStyle name="Input 2" xfId="29" xr:uid="{00000000-0005-0000-0000-00001B000000}"/>
    <cellStyle name="Input 2 2" xfId="199" xr:uid="{00000000-0005-0000-0000-000083000000}"/>
    <cellStyle name="Input 2 3" xfId="200" xr:uid="{00000000-0005-0000-0000-000084000000}"/>
    <cellStyle name="Input 2 4" xfId="201" xr:uid="{00000000-0005-0000-0000-000085000000}"/>
    <cellStyle name="Input 2 5" xfId="202" xr:uid="{00000000-0005-0000-0000-000086000000}"/>
    <cellStyle name="Input 2 6" xfId="203" xr:uid="{00000000-0005-0000-0000-000087000000}"/>
    <cellStyle name="Input 2 7" xfId="198" xr:uid="{00000000-0005-0000-0000-000082000000}"/>
    <cellStyle name="Input 3" xfId="204" xr:uid="{00000000-0005-0000-0000-000088000000}"/>
    <cellStyle name="Input 4" xfId="205" xr:uid="{00000000-0005-0000-0000-000089000000}"/>
    <cellStyle name="Input 5" xfId="206" xr:uid="{00000000-0005-0000-0000-00008A000000}"/>
    <cellStyle name="Input 6" xfId="207" xr:uid="{00000000-0005-0000-0000-00008B000000}"/>
    <cellStyle name="Input 7" xfId="208" xr:uid="{00000000-0005-0000-0000-00008C000000}"/>
    <cellStyle name="Input 8" xfId="209" xr:uid="{00000000-0005-0000-0000-00008D000000}"/>
    <cellStyle name="Input 9" xfId="210" xr:uid="{00000000-0005-0000-0000-00008E000000}"/>
    <cellStyle name="Linked Cell 2" xfId="211" xr:uid="{00000000-0005-0000-0000-00008F000000}"/>
    <cellStyle name="Neutral 2" xfId="212" xr:uid="{00000000-0005-0000-0000-000090000000}"/>
    <cellStyle name="Normal" xfId="0" builtinId="0"/>
    <cellStyle name="Normal - Style1" xfId="213" xr:uid="{00000000-0005-0000-0000-000092000000}"/>
    <cellStyle name="Normal 10" xfId="214" xr:uid="{00000000-0005-0000-0000-000093000000}"/>
    <cellStyle name="Normal 11" xfId="215" xr:uid="{00000000-0005-0000-0000-000094000000}"/>
    <cellStyle name="Normal 12" xfId="216" xr:uid="{00000000-0005-0000-0000-000095000000}"/>
    <cellStyle name="Normal 13" xfId="217" xr:uid="{00000000-0005-0000-0000-000096000000}"/>
    <cellStyle name="Normal 14" xfId="218" xr:uid="{00000000-0005-0000-0000-000097000000}"/>
    <cellStyle name="Normal 15" xfId="219" xr:uid="{00000000-0005-0000-0000-000098000000}"/>
    <cellStyle name="Normal 16" xfId="220" xr:uid="{00000000-0005-0000-0000-000099000000}"/>
    <cellStyle name="Normal 17" xfId="221" xr:uid="{00000000-0005-0000-0000-00009A000000}"/>
    <cellStyle name="Normal 18" xfId="222" xr:uid="{00000000-0005-0000-0000-00009B000000}"/>
    <cellStyle name="Normal 19" xfId="223" xr:uid="{00000000-0005-0000-0000-00009C000000}"/>
    <cellStyle name="Normal 2" xfId="30" xr:uid="{00000000-0005-0000-0000-00001D000000}"/>
    <cellStyle name="Normal 2 10" xfId="4" xr:uid="{00000000-0005-0000-0000-00001E000000}"/>
    <cellStyle name="Normal 2 11" xfId="31" xr:uid="{00000000-0005-0000-0000-00001F000000}"/>
    <cellStyle name="Normal 2 12" xfId="32" xr:uid="{00000000-0005-0000-0000-000020000000}"/>
    <cellStyle name="Normal 2 13" xfId="33" xr:uid="{00000000-0005-0000-0000-000021000000}"/>
    <cellStyle name="Normal 2 14" xfId="34" xr:uid="{00000000-0005-0000-0000-000022000000}"/>
    <cellStyle name="Normal 2 15" xfId="35" xr:uid="{00000000-0005-0000-0000-000023000000}"/>
    <cellStyle name="Normal 2 16" xfId="36" xr:uid="{00000000-0005-0000-0000-000024000000}"/>
    <cellStyle name="Normal 2 17" xfId="37" xr:uid="{00000000-0005-0000-0000-000025000000}"/>
    <cellStyle name="Normal 2 2" xfId="38" xr:uid="{00000000-0005-0000-0000-000026000000}"/>
    <cellStyle name="Normal 2 2 2" xfId="225" xr:uid="{00000000-0005-0000-0000-00009F000000}"/>
    <cellStyle name="Normal 2 2 2 2" xfId="342" xr:uid="{00000000-0005-0000-0000-0000A0000000}"/>
    <cellStyle name="Normal 2 2 3" xfId="224" xr:uid="{00000000-0005-0000-0000-00009E000000}"/>
    <cellStyle name="Normal 2 3" xfId="39" xr:uid="{00000000-0005-0000-0000-000027000000}"/>
    <cellStyle name="Normal 2 4" xfId="40" xr:uid="{00000000-0005-0000-0000-000028000000}"/>
    <cellStyle name="Normal 2 5" xfId="41" xr:uid="{00000000-0005-0000-0000-000029000000}"/>
    <cellStyle name="Normal 2 5 2" xfId="226" xr:uid="{00000000-0005-0000-0000-0000A3000000}"/>
    <cellStyle name="Normal 2 6" xfId="42" xr:uid="{00000000-0005-0000-0000-00002A000000}"/>
    <cellStyle name="Normal 2 6 2" xfId="227" xr:uid="{00000000-0005-0000-0000-0000A4000000}"/>
    <cellStyle name="Normal 2 7" xfId="43" xr:uid="{00000000-0005-0000-0000-00002B000000}"/>
    <cellStyle name="Normal 2 7 2" xfId="228" xr:uid="{00000000-0005-0000-0000-0000A5000000}"/>
    <cellStyle name="Normal 2 8" xfId="44" xr:uid="{00000000-0005-0000-0000-00002C000000}"/>
    <cellStyle name="Normal 2 8 2" xfId="229" xr:uid="{00000000-0005-0000-0000-0000A6000000}"/>
    <cellStyle name="Normal 2 9" xfId="45" xr:uid="{00000000-0005-0000-0000-00002D000000}"/>
    <cellStyle name="Normal 2_steeplechaseconcept4" xfId="230" xr:uid="{00000000-0005-0000-0000-0000A7000000}"/>
    <cellStyle name="Normal 20" xfId="231" xr:uid="{00000000-0005-0000-0000-0000A8000000}"/>
    <cellStyle name="Normal 21" xfId="232" xr:uid="{00000000-0005-0000-0000-0000A9000000}"/>
    <cellStyle name="Normal 22" xfId="233" xr:uid="{00000000-0005-0000-0000-0000AA000000}"/>
    <cellStyle name="Normal 23" xfId="234" xr:uid="{00000000-0005-0000-0000-0000AB000000}"/>
    <cellStyle name="Normal 24" xfId="235" xr:uid="{00000000-0005-0000-0000-0000AC000000}"/>
    <cellStyle name="Normal 24 2" xfId="236" xr:uid="{00000000-0005-0000-0000-0000AD000000}"/>
    <cellStyle name="Normal 25" xfId="237" xr:uid="{00000000-0005-0000-0000-0000AE000000}"/>
    <cellStyle name="Normal 26" xfId="238" xr:uid="{00000000-0005-0000-0000-0000AF000000}"/>
    <cellStyle name="Normal 27" xfId="239" xr:uid="{00000000-0005-0000-0000-0000B0000000}"/>
    <cellStyle name="Normal 28" xfId="240" xr:uid="{00000000-0005-0000-0000-0000B1000000}"/>
    <cellStyle name="Normal 29" xfId="241" xr:uid="{00000000-0005-0000-0000-0000B2000000}"/>
    <cellStyle name="Normal 3" xfId="2" xr:uid="{00000000-0005-0000-0000-00002E000000}"/>
    <cellStyle name="Normal 3 10" xfId="46" xr:uid="{00000000-0005-0000-0000-00002F000000}"/>
    <cellStyle name="Normal 3 11" xfId="47" xr:uid="{00000000-0005-0000-0000-000030000000}"/>
    <cellStyle name="Normal 3 12" xfId="48" xr:uid="{00000000-0005-0000-0000-000031000000}"/>
    <cellStyle name="Normal 3 13" xfId="49" xr:uid="{00000000-0005-0000-0000-000032000000}"/>
    <cellStyle name="Normal 3 14" xfId="50" xr:uid="{00000000-0005-0000-0000-000033000000}"/>
    <cellStyle name="Normal 3 15" xfId="51" xr:uid="{00000000-0005-0000-0000-000034000000}"/>
    <cellStyle name="Normal 3 16" xfId="52" xr:uid="{00000000-0005-0000-0000-000035000000}"/>
    <cellStyle name="Normal 3 17" xfId="242" xr:uid="{00000000-0005-0000-0000-0000B3000000}"/>
    <cellStyle name="Normal 3 2" xfId="53" xr:uid="{00000000-0005-0000-0000-000036000000}"/>
    <cellStyle name="Normal 3 2 2" xfId="243" xr:uid="{00000000-0005-0000-0000-0000B4000000}"/>
    <cellStyle name="Normal 3 3" xfId="54" xr:uid="{00000000-0005-0000-0000-000037000000}"/>
    <cellStyle name="Normal 3 3 2" xfId="244" xr:uid="{00000000-0005-0000-0000-0000B5000000}"/>
    <cellStyle name="Normal 3 4" xfId="55" xr:uid="{00000000-0005-0000-0000-000038000000}"/>
    <cellStyle name="Normal 3 5" xfId="56" xr:uid="{00000000-0005-0000-0000-000039000000}"/>
    <cellStyle name="Normal 3 5 2" xfId="245" xr:uid="{00000000-0005-0000-0000-0000B7000000}"/>
    <cellStyle name="Normal 3 6" xfId="57" xr:uid="{00000000-0005-0000-0000-00003A000000}"/>
    <cellStyle name="Normal 3 7" xfId="58" xr:uid="{00000000-0005-0000-0000-00003B000000}"/>
    <cellStyle name="Normal 3 8" xfId="59" xr:uid="{00000000-0005-0000-0000-00003C000000}"/>
    <cellStyle name="Normal 3 9" xfId="60" xr:uid="{00000000-0005-0000-0000-00003D000000}"/>
    <cellStyle name="Normal 30" xfId="246" xr:uid="{00000000-0005-0000-0000-0000B8000000}"/>
    <cellStyle name="Normal 31" xfId="247" xr:uid="{00000000-0005-0000-0000-0000B9000000}"/>
    <cellStyle name="Normal 32" xfId="248" xr:uid="{00000000-0005-0000-0000-0000BA000000}"/>
    <cellStyle name="Normal 33" xfId="249" xr:uid="{00000000-0005-0000-0000-0000BB000000}"/>
    <cellStyle name="Normal 34" xfId="250" xr:uid="{00000000-0005-0000-0000-0000BC000000}"/>
    <cellStyle name="Normal 35" xfId="251" xr:uid="{00000000-0005-0000-0000-0000BD000000}"/>
    <cellStyle name="Normal 36" xfId="274" xr:uid="{00000000-0005-0000-0000-000083010000}"/>
    <cellStyle name="Normal 4" xfId="61" xr:uid="{00000000-0005-0000-0000-00003E000000}"/>
    <cellStyle name="Normal 4 2" xfId="253" xr:uid="{00000000-0005-0000-0000-0000BF000000}"/>
    <cellStyle name="Normal 4 3" xfId="252" xr:uid="{00000000-0005-0000-0000-0000BE000000}"/>
    <cellStyle name="Normal 5" xfId="62" xr:uid="{00000000-0005-0000-0000-00003F000000}"/>
    <cellStyle name="Normal 5 2" xfId="255" xr:uid="{00000000-0005-0000-0000-0000C1000000}"/>
    <cellStyle name="Normal 5 2 2" xfId="256" xr:uid="{00000000-0005-0000-0000-0000C2000000}"/>
    <cellStyle name="Normal 5 3" xfId="257" xr:uid="{00000000-0005-0000-0000-0000C3000000}"/>
    <cellStyle name="Normal 5 4" xfId="254" xr:uid="{00000000-0005-0000-0000-0000C0000000}"/>
    <cellStyle name="Normal 51" xfId="258" xr:uid="{00000000-0005-0000-0000-0000C4000000}"/>
    <cellStyle name="Normal 54" xfId="259" xr:uid="{00000000-0005-0000-0000-0000C5000000}"/>
    <cellStyle name="Normal 6" xfId="63" xr:uid="{00000000-0005-0000-0000-000040000000}"/>
    <cellStyle name="Normal 6 2" xfId="261" xr:uid="{00000000-0005-0000-0000-0000C7000000}"/>
    <cellStyle name="Normal 6 3" xfId="262" xr:uid="{00000000-0005-0000-0000-0000C8000000}"/>
    <cellStyle name="Normal 6 4" xfId="260" xr:uid="{00000000-0005-0000-0000-0000C6000000}"/>
    <cellStyle name="Normal 7" xfId="64" xr:uid="{00000000-0005-0000-0000-000041000000}"/>
    <cellStyle name="Normal 7 2" xfId="263" xr:uid="{00000000-0005-0000-0000-0000CA000000}"/>
    <cellStyle name="Normal 8" xfId="264" xr:uid="{00000000-0005-0000-0000-0000CB000000}"/>
    <cellStyle name="Normal 9" xfId="265" xr:uid="{00000000-0005-0000-0000-0000CC000000}"/>
    <cellStyle name="Note 2" xfId="266" xr:uid="{00000000-0005-0000-0000-0000CE000000}"/>
    <cellStyle name="Note 3" xfId="267" xr:uid="{00000000-0005-0000-0000-0000CF000000}"/>
    <cellStyle name="Output 2" xfId="268" xr:uid="{00000000-0005-0000-0000-0000D0000000}"/>
    <cellStyle name="Percent" xfId="71" builtinId="5"/>
    <cellStyle name="Percent [2]" xfId="269" xr:uid="{00000000-0005-0000-0000-0000D2000000}"/>
    <cellStyle name="Percent 10" xfId="270" xr:uid="{00000000-0005-0000-0000-0000D3000000}"/>
    <cellStyle name="Percent 11" xfId="271" xr:uid="{00000000-0005-0000-0000-0000D4000000}"/>
    <cellStyle name="Percent 12" xfId="272" xr:uid="{00000000-0005-0000-0000-0000D5000000}"/>
    <cellStyle name="Percent 13" xfId="273" xr:uid="{00000000-0005-0000-0000-0000D6000000}"/>
    <cellStyle name="Percent 14" xfId="343" xr:uid="{00000000-0005-0000-0000-000084010000}"/>
    <cellStyle name="Percent 2" xfId="65" xr:uid="{00000000-0005-0000-0000-000043000000}"/>
    <cellStyle name="Percent 2 2" xfId="275" xr:uid="{00000000-0005-0000-0000-0000D8000000}"/>
    <cellStyle name="Percent 2 3" xfId="276" xr:uid="{00000000-0005-0000-0000-0000D9000000}"/>
    <cellStyle name="Percent 2 4" xfId="277" xr:uid="{00000000-0005-0000-0000-0000DA000000}"/>
    <cellStyle name="Percent 2 5" xfId="278" xr:uid="{00000000-0005-0000-0000-0000DB000000}"/>
    <cellStyle name="Percent 2 6" xfId="279" xr:uid="{00000000-0005-0000-0000-0000DC000000}"/>
    <cellStyle name="Percent 2 7" xfId="280" xr:uid="{00000000-0005-0000-0000-0000DD000000}"/>
    <cellStyle name="Percent 3" xfId="66" xr:uid="{00000000-0005-0000-0000-000044000000}"/>
    <cellStyle name="Percent 3 2" xfId="282" xr:uid="{00000000-0005-0000-0000-0000DF000000}"/>
    <cellStyle name="Percent 3 3" xfId="281" xr:uid="{00000000-0005-0000-0000-0000DE000000}"/>
    <cellStyle name="Percent 4" xfId="67" xr:uid="{00000000-0005-0000-0000-000045000000}"/>
    <cellStyle name="Percent 4 2" xfId="284" xr:uid="{00000000-0005-0000-0000-0000E1000000}"/>
    <cellStyle name="Percent 4 3" xfId="285" xr:uid="{00000000-0005-0000-0000-0000E2000000}"/>
    <cellStyle name="Percent 4 4" xfId="283" xr:uid="{00000000-0005-0000-0000-0000E0000000}"/>
    <cellStyle name="Percent 5" xfId="68" xr:uid="{00000000-0005-0000-0000-000046000000}"/>
    <cellStyle name="Percent 5 2" xfId="287" xr:uid="{00000000-0005-0000-0000-0000E4000000}"/>
    <cellStyle name="Percent 5 3" xfId="286" xr:uid="{00000000-0005-0000-0000-0000E3000000}"/>
    <cellStyle name="Percent 6" xfId="69" xr:uid="{00000000-0005-0000-0000-000047000000}"/>
    <cellStyle name="Percent 6 2" xfId="288" xr:uid="{00000000-0005-0000-0000-0000E5000000}"/>
    <cellStyle name="Percent 7" xfId="289" xr:uid="{00000000-0005-0000-0000-0000E6000000}"/>
    <cellStyle name="Percent 8" xfId="290" xr:uid="{00000000-0005-0000-0000-0000E7000000}"/>
    <cellStyle name="Percent 9" xfId="291" xr:uid="{00000000-0005-0000-0000-0000E8000000}"/>
    <cellStyle name="Refdb standard" xfId="292" xr:uid="{00000000-0005-0000-0000-0000E9000000}"/>
    <cellStyle name="Reference" xfId="293" xr:uid="{00000000-0005-0000-0000-0000EA000000}"/>
    <cellStyle name="RHlayer1" xfId="294" xr:uid="{00000000-0005-0000-0000-0000EB000000}"/>
    <cellStyle name="RHlayer2" xfId="295" xr:uid="{00000000-0005-0000-0000-0000EC000000}"/>
    <cellStyle name="RHlayer3" xfId="296" xr:uid="{00000000-0005-0000-0000-0000ED000000}"/>
    <cellStyle name="RHlayer4" xfId="297" xr:uid="{00000000-0005-0000-0000-0000EE000000}"/>
    <cellStyle name="RHlayer5" xfId="298" xr:uid="{00000000-0005-0000-0000-0000EF000000}"/>
    <cellStyle name="RHlayer6" xfId="299" xr:uid="{00000000-0005-0000-0000-0000F0000000}"/>
    <cellStyle name="RHlevel1" xfId="300" xr:uid="{00000000-0005-0000-0000-0000F1000000}"/>
    <cellStyle name="RHlevel2" xfId="301" xr:uid="{00000000-0005-0000-0000-0000F2000000}"/>
    <cellStyle name="RHlevel3" xfId="302" xr:uid="{00000000-0005-0000-0000-0000F3000000}"/>
    <cellStyle name="RHlevel4" xfId="303" xr:uid="{00000000-0005-0000-0000-0000F4000000}"/>
    <cellStyle name="RHlevel5" xfId="304" xr:uid="{00000000-0005-0000-0000-0000F5000000}"/>
    <cellStyle name="Row heading" xfId="305" xr:uid="{00000000-0005-0000-0000-0000F6000000}"/>
    <cellStyle name="Source Hed" xfId="306" xr:uid="{00000000-0005-0000-0000-0000F7000000}"/>
    <cellStyle name="Source Letter" xfId="307" xr:uid="{00000000-0005-0000-0000-0000F8000000}"/>
    <cellStyle name="Source Superscript" xfId="308" xr:uid="{00000000-0005-0000-0000-0000F9000000}"/>
    <cellStyle name="Source Superscript 2" xfId="309" xr:uid="{00000000-0005-0000-0000-0000FA000000}"/>
    <cellStyle name="Source Text" xfId="310" xr:uid="{00000000-0005-0000-0000-0000FB000000}"/>
    <cellStyle name="Source Text 2" xfId="311" xr:uid="{00000000-0005-0000-0000-0000FC000000}"/>
    <cellStyle name="Source Text 3" xfId="312" xr:uid="{00000000-0005-0000-0000-0000FD000000}"/>
    <cellStyle name="State" xfId="313" xr:uid="{00000000-0005-0000-0000-0000FE000000}"/>
    <cellStyle name="Style 1" xfId="314" xr:uid="{00000000-0005-0000-0000-0000FF000000}"/>
    <cellStyle name="Superscript" xfId="315" xr:uid="{00000000-0005-0000-0000-000000010000}"/>
    <cellStyle name="Superscript- regular" xfId="316" xr:uid="{00000000-0005-0000-0000-000001010000}"/>
    <cellStyle name="Superscript_1-1A-Regular" xfId="317" xr:uid="{00000000-0005-0000-0000-000002010000}"/>
    <cellStyle name="Table Data" xfId="318" xr:uid="{00000000-0005-0000-0000-000003010000}"/>
    <cellStyle name="Table Head Top" xfId="319" xr:uid="{00000000-0005-0000-0000-000004010000}"/>
    <cellStyle name="Table Hed Side" xfId="320" xr:uid="{00000000-0005-0000-0000-000005010000}"/>
    <cellStyle name="Table Title" xfId="321" xr:uid="{00000000-0005-0000-0000-000006010000}"/>
    <cellStyle name="Times New Roman" xfId="322" xr:uid="{00000000-0005-0000-0000-000007010000}"/>
    <cellStyle name="Title Text" xfId="323" xr:uid="{00000000-0005-0000-0000-000008010000}"/>
    <cellStyle name="Title Text 1" xfId="324" xr:uid="{00000000-0005-0000-0000-000009010000}"/>
    <cellStyle name="Title Text 2" xfId="325" xr:uid="{00000000-0005-0000-0000-00000A010000}"/>
    <cellStyle name="Title-1" xfId="326" xr:uid="{00000000-0005-0000-0000-00000B010000}"/>
    <cellStyle name="Title-1 2" xfId="327" xr:uid="{00000000-0005-0000-0000-00000C010000}"/>
    <cellStyle name="Title-1 3" xfId="328" xr:uid="{00000000-0005-0000-0000-00000D010000}"/>
    <cellStyle name="Title-2" xfId="329" xr:uid="{00000000-0005-0000-0000-00000E010000}"/>
    <cellStyle name="Title-2 2" xfId="330" xr:uid="{00000000-0005-0000-0000-00000F010000}"/>
    <cellStyle name="Title-3" xfId="331" xr:uid="{00000000-0005-0000-0000-000010010000}"/>
    <cellStyle name="Total 2" xfId="332" xr:uid="{00000000-0005-0000-0000-000011010000}"/>
    <cellStyle name="Total 3" xfId="333" xr:uid="{00000000-0005-0000-0000-000012010000}"/>
    <cellStyle name="Warning Text 2" xfId="334" xr:uid="{00000000-0005-0000-0000-000013010000}"/>
    <cellStyle name="Warning Text 2 2" xfId="335" xr:uid="{00000000-0005-0000-0000-000014010000}"/>
    <cellStyle name="Warning Text 2 3" xfId="336" xr:uid="{00000000-0005-0000-0000-000015010000}"/>
    <cellStyle name="Warning Text 2 4" xfId="337" xr:uid="{00000000-0005-0000-0000-000016010000}"/>
    <cellStyle name="Wrap" xfId="338" xr:uid="{00000000-0005-0000-0000-000017010000}"/>
    <cellStyle name="Wrap Bold" xfId="339" xr:uid="{00000000-0005-0000-0000-000018010000}"/>
    <cellStyle name="Wrap Title" xfId="340" xr:uid="{00000000-0005-0000-0000-000019010000}"/>
    <cellStyle name="Wrap_NTS99-~11" xfId="341" xr:uid="{00000000-0005-0000-0000-00001A010000}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tabSelected="1" workbookViewId="0">
      <selection activeCell="C25" sqref="C25:D25"/>
    </sheetView>
  </sheetViews>
  <sheetFormatPr defaultColWidth="9.140625" defaultRowHeight="16.5" x14ac:dyDescent="0.3"/>
  <cols>
    <col min="1" max="1" width="9.140625" style="303"/>
    <col min="2" max="2" width="35.42578125" style="303" customWidth="1"/>
    <col min="3" max="3" width="18.5703125" style="303" customWidth="1"/>
    <col min="4" max="4" width="19.42578125" style="303" customWidth="1"/>
    <col min="5" max="5" width="12.42578125" style="303" bestFit="1" customWidth="1"/>
    <col min="6" max="7" width="9.140625" style="303"/>
    <col min="8" max="8" width="32.7109375" style="303" customWidth="1"/>
    <col min="9" max="9" width="18" style="303" customWidth="1"/>
    <col min="10" max="10" width="2.42578125" style="303" customWidth="1"/>
    <col min="11" max="16384" width="9.140625" style="303"/>
  </cols>
  <sheetData>
    <row r="1" spans="1:11" ht="19.5" thickBot="1" x14ac:dyDescent="0.35">
      <c r="A1" s="367" t="s">
        <v>328</v>
      </c>
      <c r="H1" s="436" t="s">
        <v>48</v>
      </c>
      <c r="I1" s="436"/>
      <c r="K1" s="435"/>
    </row>
    <row r="2" spans="1:11" x14ac:dyDescent="0.3">
      <c r="H2" s="342"/>
      <c r="I2" s="343" t="s">
        <v>329</v>
      </c>
      <c r="J2" s="432"/>
      <c r="K2" s="435"/>
    </row>
    <row r="3" spans="1:11" x14ac:dyDescent="0.3">
      <c r="H3" s="344" t="s">
        <v>354</v>
      </c>
      <c r="I3" s="345">
        <f>'Summary of Benefits'!G42/E4</f>
        <v>778.29252330925306</v>
      </c>
      <c r="J3" s="433"/>
      <c r="K3" s="435"/>
    </row>
    <row r="4" spans="1:11" x14ac:dyDescent="0.3">
      <c r="E4" s="360">
        <v>1000000</v>
      </c>
      <c r="H4" s="344" t="s">
        <v>355</v>
      </c>
      <c r="I4" s="345">
        <f>'Summary of Costs'!E42/E4</f>
        <v>464.58781708036224</v>
      </c>
      <c r="J4" s="432"/>
      <c r="K4" s="435"/>
    </row>
    <row r="5" spans="1:11" ht="14.25" customHeight="1" x14ac:dyDescent="0.3">
      <c r="E5" s="360"/>
      <c r="H5" s="344"/>
      <c r="I5" s="345"/>
      <c r="J5" s="432"/>
      <c r="K5" s="435"/>
    </row>
    <row r="6" spans="1:11" x14ac:dyDescent="0.3">
      <c r="E6" s="360"/>
      <c r="H6" s="344" t="s">
        <v>330</v>
      </c>
      <c r="I6" s="382">
        <f>C24</f>
        <v>1.7105579565889768</v>
      </c>
      <c r="J6" s="432"/>
      <c r="K6" s="435"/>
    </row>
    <row r="7" spans="1:11" x14ac:dyDescent="0.3">
      <c r="E7" s="360"/>
      <c r="H7" s="344" t="s">
        <v>353</v>
      </c>
      <c r="I7" s="345">
        <f>I3-I4</f>
        <v>313.70470622889081</v>
      </c>
      <c r="J7" s="432"/>
      <c r="K7" s="435"/>
    </row>
    <row r="8" spans="1:11" ht="17.25" thickBot="1" x14ac:dyDescent="0.35">
      <c r="H8" s="347" t="s">
        <v>320</v>
      </c>
      <c r="I8" s="383">
        <f>C25</f>
        <v>0.10559891614221772</v>
      </c>
      <c r="J8" s="434"/>
      <c r="K8" s="435"/>
    </row>
    <row r="9" spans="1:11" x14ac:dyDescent="0.3">
      <c r="B9" s="359" t="s">
        <v>321</v>
      </c>
      <c r="K9" s="435"/>
    </row>
    <row r="10" spans="1:11" ht="15" customHeight="1" x14ac:dyDescent="0.3">
      <c r="I10" s="387"/>
    </row>
    <row r="11" spans="1:11" x14ac:dyDescent="0.3">
      <c r="B11" s="437" t="s">
        <v>311</v>
      </c>
      <c r="C11" s="439" t="s">
        <v>395</v>
      </c>
      <c r="D11" s="440"/>
      <c r="I11" s="346"/>
    </row>
    <row r="12" spans="1:11" x14ac:dyDescent="0.3">
      <c r="B12" s="438"/>
      <c r="C12" s="348" t="s">
        <v>312</v>
      </c>
      <c r="D12" s="348" t="s">
        <v>313</v>
      </c>
    </row>
    <row r="13" spans="1:11" x14ac:dyDescent="0.3">
      <c r="B13" s="349" t="s">
        <v>314</v>
      </c>
      <c r="C13" s="350"/>
      <c r="D13" s="351"/>
    </row>
    <row r="14" spans="1:11" x14ac:dyDescent="0.3">
      <c r="B14" s="352" t="s">
        <v>83</v>
      </c>
      <c r="C14" s="353">
        <f>'Summary of Benefits'!I42/'BCA Results'!E4</f>
        <v>105.45272436807365</v>
      </c>
      <c r="D14" s="353">
        <f>'Summary of Benefits'!B42/$E$4</f>
        <v>443.99245627876911</v>
      </c>
    </row>
    <row r="15" spans="1:11" ht="15" customHeight="1" x14ac:dyDescent="0.3">
      <c r="B15" s="352" t="s">
        <v>84</v>
      </c>
      <c r="C15" s="353">
        <f>'Summary of Benefits'!J42/'BCA Results'!E4</f>
        <v>453.3701882617795</v>
      </c>
      <c r="D15" s="353">
        <f>'Summary of Benefits'!C42/'BCA Results'!$E$4</f>
        <v>1908.8453588673526</v>
      </c>
    </row>
    <row r="16" spans="1:11" ht="14.25" customHeight="1" x14ac:dyDescent="0.3">
      <c r="B16" s="352" t="s">
        <v>352</v>
      </c>
      <c r="C16" s="353">
        <f>'Summary of Benefits'!K42/'BCA Results'!E4</f>
        <v>102.47205331733669</v>
      </c>
      <c r="D16" s="353">
        <f>'Summary of Benefits'!D42/'BCA Results'!$E$4</f>
        <v>430.07092413791349</v>
      </c>
    </row>
    <row r="17" spans="2:4" x14ac:dyDescent="0.3">
      <c r="B17" s="352" t="s">
        <v>0</v>
      </c>
      <c r="C17" s="353">
        <f>'Summary of Benefits'!L42/'BCA Results'!E4</f>
        <v>116.99755736206339</v>
      </c>
      <c r="D17" s="353">
        <f>'Summary of Benefits'!E42/'BCA Results'!$E$4</f>
        <v>492.60019770077815</v>
      </c>
    </row>
    <row r="18" spans="2:4" x14ac:dyDescent="0.3">
      <c r="B18" s="354" t="s">
        <v>49</v>
      </c>
      <c r="C18" s="353">
        <f>'Summary of Benefits'!G42/'BCA Results'!E4</f>
        <v>778.29252330925306</v>
      </c>
      <c r="D18" s="353">
        <f>SUM(D14:D17)</f>
        <v>3275.5089369848133</v>
      </c>
    </row>
    <row r="19" spans="2:4" x14ac:dyDescent="0.3">
      <c r="B19" s="441" t="s">
        <v>315</v>
      </c>
      <c r="C19" s="442"/>
      <c r="D19" s="443"/>
    </row>
    <row r="20" spans="2:4" x14ac:dyDescent="0.3">
      <c r="B20" s="352" t="s">
        <v>316</v>
      </c>
      <c r="C20" s="353">
        <f>'Summary of Costs'!G42/'BCA Results'!E4</f>
        <v>441.49066704540996</v>
      </c>
      <c r="D20" s="353">
        <f>'Project Costs'!P18/'BCA Results'!$E$4</f>
        <v>522.118466313407</v>
      </c>
    </row>
    <row r="21" spans="2:4" x14ac:dyDescent="0.3">
      <c r="B21" s="352" t="s">
        <v>317</v>
      </c>
      <c r="C21" s="353">
        <f>'Summary of Costs'!H42/'BCA Results'!E4</f>
        <v>23.0971500349523</v>
      </c>
      <c r="D21" s="353">
        <f>('Project Costs'!P19*30)/'BCA Results'!$E$4</f>
        <v>78.317769947011044</v>
      </c>
    </row>
    <row r="22" spans="2:4" x14ac:dyDescent="0.3">
      <c r="B22" s="354" t="s">
        <v>318</v>
      </c>
      <c r="C22" s="353">
        <f>SUM(C20:C21)</f>
        <v>464.58781708036224</v>
      </c>
      <c r="D22" s="353">
        <f>SUM(D20:D21)</f>
        <v>600.43623626041801</v>
      </c>
    </row>
    <row r="23" spans="2:4" x14ac:dyDescent="0.3">
      <c r="B23" s="355" t="s">
        <v>319</v>
      </c>
      <c r="C23" s="356">
        <f>('Summary of Benefits'!G42-'Summary of Costs'!E42)/E4</f>
        <v>313.70470622889081</v>
      </c>
      <c r="D23" s="357" t="s">
        <v>322</v>
      </c>
    </row>
    <row r="24" spans="2:4" x14ac:dyDescent="0.3">
      <c r="B24" s="358" t="s">
        <v>386</v>
      </c>
      <c r="C24" s="446">
        <f>('Summary of Benefits'!G42-'Summary of Costs'!H42)/'Summary of Costs'!G42</f>
        <v>1.7105579565889768</v>
      </c>
      <c r="D24" s="447"/>
    </row>
    <row r="25" spans="2:4" x14ac:dyDescent="0.3">
      <c r="B25" s="358" t="s">
        <v>320</v>
      </c>
      <c r="C25" s="448">
        <f>IRR('Summary of Benefits'!N3:N41)</f>
        <v>0.10559891614221772</v>
      </c>
      <c r="D25" s="449"/>
    </row>
    <row r="26" spans="2:4" ht="19.5" customHeight="1" x14ac:dyDescent="0.3">
      <c r="B26" s="444" t="s">
        <v>385</v>
      </c>
      <c r="C26" s="444"/>
      <c r="D26" s="444"/>
    </row>
    <row r="27" spans="2:4" ht="19.5" customHeight="1" x14ac:dyDescent="0.3">
      <c r="B27" s="445"/>
      <c r="C27" s="445"/>
      <c r="D27" s="445"/>
    </row>
  </sheetData>
  <mergeCells count="7">
    <mergeCell ref="H1:I1"/>
    <mergeCell ref="B11:B12"/>
    <mergeCell ref="C11:D11"/>
    <mergeCell ref="B19:D19"/>
    <mergeCell ref="B26:D27"/>
    <mergeCell ref="C24:D24"/>
    <mergeCell ref="C25:D2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0"/>
  <sheetViews>
    <sheetView topLeftCell="A47" zoomScale="70" zoomScaleNormal="70" workbookViewId="0">
      <selection activeCell="G79" sqref="G79"/>
    </sheetView>
  </sheetViews>
  <sheetFormatPr defaultColWidth="9.140625" defaultRowHeight="15" x14ac:dyDescent="0.25"/>
  <cols>
    <col min="1" max="1" width="19.28515625" style="55" customWidth="1"/>
    <col min="2" max="2" width="25.5703125" style="55" customWidth="1"/>
    <col min="3" max="3" width="20.7109375" style="55" customWidth="1"/>
    <col min="4" max="4" width="20.140625" style="55" customWidth="1"/>
    <col min="5" max="5" width="22.140625" style="55" customWidth="1"/>
    <col min="6" max="6" width="29.85546875" style="55" customWidth="1"/>
    <col min="7" max="7" width="31.5703125" style="55" customWidth="1"/>
    <col min="8" max="8" width="26.7109375" style="55" customWidth="1"/>
    <col min="9" max="9" width="24.85546875" style="55" customWidth="1"/>
    <col min="10" max="10" width="27.85546875" style="55" customWidth="1"/>
    <col min="11" max="11" width="28.140625" style="55" customWidth="1"/>
    <col min="12" max="12" width="30.28515625" style="55" customWidth="1"/>
    <col min="13" max="13" width="9.140625" style="55"/>
    <col min="14" max="14" width="8.85546875" style="55" customWidth="1"/>
    <col min="15" max="15" width="13.85546875" style="55" bestFit="1" customWidth="1"/>
    <col min="16" max="16" width="14.85546875" style="55" bestFit="1" customWidth="1"/>
    <col min="17" max="17" width="17.7109375" style="55" bestFit="1" customWidth="1"/>
    <col min="18" max="24" width="9.140625" style="55"/>
    <col min="25" max="25" width="10.7109375" style="55" bestFit="1" customWidth="1"/>
    <col min="26" max="16384" width="9.140625" style="55"/>
  </cols>
  <sheetData>
    <row r="1" spans="1:12" ht="18.75" x14ac:dyDescent="0.3">
      <c r="A1" s="384" t="s">
        <v>101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6"/>
    </row>
    <row r="2" spans="1:12" ht="59.25" customHeight="1" x14ac:dyDescent="0.25">
      <c r="A2" s="295" t="s">
        <v>2</v>
      </c>
      <c r="B2" s="296" t="s">
        <v>131</v>
      </c>
      <c r="C2" s="296" t="s">
        <v>132</v>
      </c>
      <c r="D2" s="296" t="s">
        <v>133</v>
      </c>
      <c r="E2" s="297" t="s">
        <v>117</v>
      </c>
      <c r="F2" s="298" t="s">
        <v>134</v>
      </c>
      <c r="G2" s="296" t="s">
        <v>135</v>
      </c>
      <c r="H2" s="296" t="s">
        <v>138</v>
      </c>
      <c r="I2" s="296" t="s">
        <v>118</v>
      </c>
      <c r="J2" s="298" t="s">
        <v>136</v>
      </c>
      <c r="K2" s="296" t="s">
        <v>137</v>
      </c>
      <c r="L2" s="299" t="s">
        <v>139</v>
      </c>
    </row>
    <row r="3" spans="1:12" ht="14.25" customHeight="1" x14ac:dyDescent="0.25">
      <c r="A3" s="12">
        <v>2014</v>
      </c>
      <c r="B3" s="52">
        <v>0</v>
      </c>
      <c r="C3" s="52">
        <f>B3*('Other Factors'!$B$28+'Other Factors'!$C$28+'Other Factors'!$D$28)</f>
        <v>0</v>
      </c>
      <c r="D3" s="52">
        <f>B3*('Other Factors'!$B$29+'Other Factors'!$C$29+'Other Factors'!$D$29)</f>
        <v>0</v>
      </c>
      <c r="E3" s="52">
        <f>(C3/'Other Factors'!$B$3)</f>
        <v>0</v>
      </c>
      <c r="F3" s="142">
        <f>E3*'Other Factors'!$B$28/(SUM('Other Factors'!$B$28:$D$28))</f>
        <v>0</v>
      </c>
      <c r="G3" s="142">
        <f>E3*'Other Factors'!$C$28/(SUM('Other Factors'!$B$28:$D$28))</f>
        <v>0</v>
      </c>
      <c r="H3" s="142">
        <f>E3*'Other Factors'!$D$28/(SUM('Other Factors'!$B$28:$D$28))</f>
        <v>0</v>
      </c>
      <c r="I3" s="52">
        <f>D3/('Other Factors'!$B$4*'Other Factors'!$B$5)</f>
        <v>0</v>
      </c>
      <c r="J3" s="52">
        <f>I3*'Other Factors'!$B$29/(SUM('Other Factors'!$B$29:$D$29))</f>
        <v>0</v>
      </c>
      <c r="K3" s="143">
        <f>I3*'Other Factors'!$C$29/(SUM('Other Factors'!$B$29:$D$29))</f>
        <v>0</v>
      </c>
      <c r="L3" s="144">
        <f>I3*'Other Factors'!$D$29/(SUM('Other Factors'!$B$29:$D$29))</f>
        <v>0</v>
      </c>
    </row>
    <row r="4" spans="1:12" x14ac:dyDescent="0.25">
      <c r="A4" s="12">
        <v>2015</v>
      </c>
      <c r="B4" s="52">
        <v>0</v>
      </c>
      <c r="C4" s="52">
        <f>B4*('Other Factors'!$B$28+'Other Factors'!$C$28+'Other Factors'!$D$28)</f>
        <v>0</v>
      </c>
      <c r="D4" s="52">
        <f>B4*('Other Factors'!$B$29+'Other Factors'!$C$29+'Other Factors'!$D$29)</f>
        <v>0</v>
      </c>
      <c r="E4" s="52">
        <f>(C4/'Other Factors'!$B$3)</f>
        <v>0</v>
      </c>
      <c r="F4" s="142">
        <f>E4*'Other Factors'!$B$28/(SUM('Other Factors'!$B$28:$D$28))</f>
        <v>0</v>
      </c>
      <c r="G4" s="142">
        <f>E4*'Other Factors'!$C$28/(SUM('Other Factors'!$B$28:$D$28))</f>
        <v>0</v>
      </c>
      <c r="H4" s="142">
        <f>E4*'Other Factors'!$D$28/(SUM('Other Factors'!$B$28:$D$28))</f>
        <v>0</v>
      </c>
      <c r="I4" s="52">
        <f>D4/('Other Factors'!$B$4*'Other Factors'!$B$5)</f>
        <v>0</v>
      </c>
      <c r="J4" s="52">
        <f>I4*'Other Factors'!$B$29/(SUM('Other Factors'!$B$29:$D$29))</f>
        <v>0</v>
      </c>
      <c r="K4" s="143">
        <f>I4*'Other Factors'!$C$29/(SUM('Other Factors'!$B$29:$D$29))</f>
        <v>0</v>
      </c>
      <c r="L4" s="144">
        <f>I4*'Other Factors'!$D$29/(SUM('Other Factors'!$B$29:$D$29))</f>
        <v>0</v>
      </c>
    </row>
    <row r="5" spans="1:12" x14ac:dyDescent="0.25">
      <c r="A5" s="12">
        <v>2016</v>
      </c>
      <c r="B5" s="52">
        <v>0</v>
      </c>
      <c r="C5" s="52">
        <f>B5*('Other Factors'!$B$28+'Other Factors'!$C$28+'Other Factors'!$D$28)</f>
        <v>0</v>
      </c>
      <c r="D5" s="52">
        <f>B5*('Other Factors'!$B$29+'Other Factors'!$C$29+'Other Factors'!$D$29)</f>
        <v>0</v>
      </c>
      <c r="E5" s="52">
        <f>(C5/'Other Factors'!$B$3)</f>
        <v>0</v>
      </c>
      <c r="F5" s="142">
        <f>E5*'Other Factors'!$B$28/(SUM('Other Factors'!$B$28:$D$28))</f>
        <v>0</v>
      </c>
      <c r="G5" s="142">
        <f>E5*'Other Factors'!$C$28/(SUM('Other Factors'!$B$28:$D$28))</f>
        <v>0</v>
      </c>
      <c r="H5" s="142">
        <f>E5*'Other Factors'!$D$28/(SUM('Other Factors'!$B$28:$D$28))</f>
        <v>0</v>
      </c>
      <c r="I5" s="52">
        <f>D5/('Other Factors'!$B$4*'Other Factors'!$B$5)</f>
        <v>0</v>
      </c>
      <c r="J5" s="52">
        <f>I5*'Other Factors'!$B$29/(SUM('Other Factors'!$B$29:$D$29))</f>
        <v>0</v>
      </c>
      <c r="K5" s="143">
        <f>I5*'Other Factors'!$C$29/(SUM('Other Factors'!$B$29:$D$29))</f>
        <v>0</v>
      </c>
      <c r="L5" s="144">
        <f>I5*'Other Factors'!$D$29/(SUM('Other Factors'!$B$29:$D$29))</f>
        <v>0</v>
      </c>
    </row>
    <row r="6" spans="1:12" x14ac:dyDescent="0.25">
      <c r="A6" s="12">
        <v>2017</v>
      </c>
      <c r="B6" s="52">
        <v>0</v>
      </c>
      <c r="C6" s="52">
        <f>B6*('Other Factors'!$B$28+'Other Factors'!$C$28+'Other Factors'!$D$28)</f>
        <v>0</v>
      </c>
      <c r="D6" s="52">
        <f>B6*('Other Factors'!$B$29+'Other Factors'!$C$29+'Other Factors'!$D$29)</f>
        <v>0</v>
      </c>
      <c r="E6" s="52">
        <f>(C6/'Other Factors'!$B$3)</f>
        <v>0</v>
      </c>
      <c r="F6" s="142">
        <f>E6*'Other Factors'!$B$28/(SUM('Other Factors'!$B$28:$D$28))</f>
        <v>0</v>
      </c>
      <c r="G6" s="142">
        <f>E6*'Other Factors'!$C$28/(SUM('Other Factors'!$B$28:$D$28))</f>
        <v>0</v>
      </c>
      <c r="H6" s="142">
        <f>E6*'Other Factors'!$D$28/(SUM('Other Factors'!$B$28:$D$28))</f>
        <v>0</v>
      </c>
      <c r="I6" s="52">
        <f>D6/('Other Factors'!$B$4*'Other Factors'!$B$5)</f>
        <v>0</v>
      </c>
      <c r="J6" s="52">
        <f>I6*'Other Factors'!$B$29/(SUM('Other Factors'!$B$29:$D$29))</f>
        <v>0</v>
      </c>
      <c r="K6" s="143">
        <f>I6*'Other Factors'!$C$29/(SUM('Other Factors'!$B$29:$D$29))</f>
        <v>0</v>
      </c>
      <c r="L6" s="144">
        <f>I6*'Other Factors'!$D$29/(SUM('Other Factors'!$B$29:$D$29))</f>
        <v>0</v>
      </c>
    </row>
    <row r="7" spans="1:12" x14ac:dyDescent="0.25">
      <c r="A7" s="12">
        <v>2018</v>
      </c>
      <c r="B7" s="52">
        <v>0</v>
      </c>
      <c r="C7" s="52">
        <f>B7*('Other Factors'!$B$28+'Other Factors'!$C$28+'Other Factors'!$D$28)</f>
        <v>0</v>
      </c>
      <c r="D7" s="52">
        <f>B7*('Other Factors'!$B$29+'Other Factors'!$C$29+'Other Factors'!$D$29)</f>
        <v>0</v>
      </c>
      <c r="E7" s="52">
        <f>(C7/'Other Factors'!$B$3)</f>
        <v>0</v>
      </c>
      <c r="F7" s="142">
        <f>E7*'Other Factors'!$B$28/(SUM('Other Factors'!$B$28:$D$28))</f>
        <v>0</v>
      </c>
      <c r="G7" s="142">
        <f>E7*'Other Factors'!$C$28/(SUM('Other Factors'!$B$28:$D$28))</f>
        <v>0</v>
      </c>
      <c r="H7" s="142">
        <f>E7*'Other Factors'!$D$28/(SUM('Other Factors'!$B$28:$D$28))</f>
        <v>0</v>
      </c>
      <c r="I7" s="52">
        <f>D7/('Other Factors'!$B$4*'Other Factors'!$B$5)</f>
        <v>0</v>
      </c>
      <c r="J7" s="52">
        <f>I7*'Other Factors'!$B$29/(SUM('Other Factors'!$B$29:$D$29))</f>
        <v>0</v>
      </c>
      <c r="K7" s="143">
        <f>I7*'Other Factors'!$C$29/(SUM('Other Factors'!$B$29:$D$29))</f>
        <v>0</v>
      </c>
      <c r="L7" s="144">
        <f>I7*'Other Factors'!$D$29/(SUM('Other Factors'!$B$29:$D$29))</f>
        <v>0</v>
      </c>
    </row>
    <row r="8" spans="1:12" x14ac:dyDescent="0.25">
      <c r="A8" s="12">
        <v>2019</v>
      </c>
      <c r="B8" s="52">
        <v>0</v>
      </c>
      <c r="C8" s="52">
        <f>B8*('Other Factors'!$B$28+'Other Factors'!$C$28+'Other Factors'!$D$28)</f>
        <v>0</v>
      </c>
      <c r="D8" s="52">
        <f>B8*('Other Factors'!$B$29+'Other Factors'!$C$29+'Other Factors'!$D$29)</f>
        <v>0</v>
      </c>
      <c r="E8" s="52">
        <f>(C8/'Other Factors'!$B$3)</f>
        <v>0</v>
      </c>
      <c r="F8" s="142">
        <f>E8*'Other Factors'!$B$28/(SUM('Other Factors'!$B$28:$D$28))</f>
        <v>0</v>
      </c>
      <c r="G8" s="142">
        <f>E8*'Other Factors'!$C$28/(SUM('Other Factors'!$B$28:$D$28))</f>
        <v>0</v>
      </c>
      <c r="H8" s="142">
        <f>E8*'Other Factors'!$D$28/(SUM('Other Factors'!$B$28:$D$28))</f>
        <v>0</v>
      </c>
      <c r="I8" s="52">
        <f>D8/('Other Factors'!$B$4*'Other Factors'!$B$5)</f>
        <v>0</v>
      </c>
      <c r="J8" s="52">
        <f>I8*'Other Factors'!$B$29/(SUM('Other Factors'!$B$29:$D$29))</f>
        <v>0</v>
      </c>
      <c r="K8" s="143">
        <f>I8*'Other Factors'!$C$29/(SUM('Other Factors'!$B$29:$D$29))</f>
        <v>0</v>
      </c>
      <c r="L8" s="144">
        <f>I8*'Other Factors'!$D$29/(SUM('Other Factors'!$B$29:$D$29))</f>
        <v>0</v>
      </c>
    </row>
    <row r="9" spans="1:12" x14ac:dyDescent="0.25">
      <c r="A9" s="12">
        <v>2020</v>
      </c>
      <c r="B9" s="52">
        <v>0</v>
      </c>
      <c r="C9" s="52">
        <f>B9*('Other Factors'!$B$28+'Other Factors'!$C$28+'Other Factors'!$D$28)</f>
        <v>0</v>
      </c>
      <c r="D9" s="52">
        <f>B9*('Other Factors'!$B$29+'Other Factors'!$C$29+'Other Factors'!$D$29)</f>
        <v>0</v>
      </c>
      <c r="E9" s="52">
        <f>(C9/'Other Factors'!$B$3)</f>
        <v>0</v>
      </c>
      <c r="F9" s="142">
        <f>E9*'Other Factors'!$B$28/(SUM('Other Factors'!$B$28:$D$28))</f>
        <v>0</v>
      </c>
      <c r="G9" s="142">
        <f>E9*'Other Factors'!$C$28/(SUM('Other Factors'!$B$28:$D$28))</f>
        <v>0</v>
      </c>
      <c r="H9" s="142">
        <f>E9*'Other Factors'!$D$28/(SUM('Other Factors'!$B$28:$D$28))</f>
        <v>0</v>
      </c>
      <c r="I9" s="52">
        <f>D9/('Other Factors'!$B$4*'Other Factors'!$B$5)</f>
        <v>0</v>
      </c>
      <c r="J9" s="52">
        <f>I9*'Other Factors'!$B$29/(SUM('Other Factors'!$B$29:$D$29))</f>
        <v>0</v>
      </c>
      <c r="K9" s="143">
        <f>I9*'Other Factors'!$C$29/(SUM('Other Factors'!$B$29:$D$29))</f>
        <v>0</v>
      </c>
      <c r="L9" s="144">
        <f>I9*'Other Factors'!$D$29/(SUM('Other Factors'!$B$29:$D$29))</f>
        <v>0</v>
      </c>
    </row>
    <row r="10" spans="1:12" x14ac:dyDescent="0.25">
      <c r="A10" s="12">
        <v>2021</v>
      </c>
      <c r="B10" s="52">
        <v>0</v>
      </c>
      <c r="C10" s="52">
        <f>B10*('Other Factors'!$B$28+'Other Factors'!$C$28+'Other Factors'!$D$28)</f>
        <v>0</v>
      </c>
      <c r="D10" s="52">
        <f>B10*('Other Factors'!$B$29+'Other Factors'!$C$29+'Other Factors'!$D$29)</f>
        <v>0</v>
      </c>
      <c r="E10" s="52">
        <f>(C10/'Other Factors'!$B$3)</f>
        <v>0</v>
      </c>
      <c r="F10" s="142">
        <f>E10*'Other Factors'!$B$28/(SUM('Other Factors'!$B$28:$D$28))</f>
        <v>0</v>
      </c>
      <c r="G10" s="142">
        <f>E10*'Other Factors'!$C$28/(SUM('Other Factors'!$B$28:$D$28))</f>
        <v>0</v>
      </c>
      <c r="H10" s="142">
        <f>E10*'Other Factors'!$D$28/(SUM('Other Factors'!$B$28:$D$28))</f>
        <v>0</v>
      </c>
      <c r="I10" s="52">
        <f>D10/('Other Factors'!$B$4*'Other Factors'!$B$5)</f>
        <v>0</v>
      </c>
      <c r="J10" s="52">
        <f>I10*'Other Factors'!$B$29/(SUM('Other Factors'!$B$29:$D$29))</f>
        <v>0</v>
      </c>
      <c r="K10" s="143">
        <f>I10*'Other Factors'!$C$29/(SUM('Other Factors'!$B$29:$D$29))</f>
        <v>0</v>
      </c>
      <c r="L10" s="144">
        <f>I10*'Other Factors'!$D$29/(SUM('Other Factors'!$B$29:$D$29))</f>
        <v>0</v>
      </c>
    </row>
    <row r="11" spans="1:12" x14ac:dyDescent="0.25">
      <c r="A11" s="12">
        <v>2022</v>
      </c>
      <c r="B11" s="52">
        <v>0</v>
      </c>
      <c r="C11" s="52">
        <f>B11*('Other Factors'!$B$28+'Other Factors'!$C$28+'Other Factors'!$D$28)</f>
        <v>0</v>
      </c>
      <c r="D11" s="52">
        <f>B11*('Other Factors'!$B$29+'Other Factors'!$C$29+'Other Factors'!$D$29)</f>
        <v>0</v>
      </c>
      <c r="E11" s="52">
        <f>(C11/'Other Factors'!$B$3)</f>
        <v>0</v>
      </c>
      <c r="F11" s="142">
        <f>E11*'Other Factors'!$B$28/(SUM('Other Factors'!$B$28:$D$28))</f>
        <v>0</v>
      </c>
      <c r="G11" s="142">
        <f>E11*'Other Factors'!$C$28/(SUM('Other Factors'!$B$28:$D$28))</f>
        <v>0</v>
      </c>
      <c r="H11" s="142">
        <f>E11*'Other Factors'!$D$28/(SUM('Other Factors'!$B$28:$D$28))</f>
        <v>0</v>
      </c>
      <c r="I11" s="52">
        <f>D11/('Other Factors'!$B$4*'Other Factors'!$B$5)</f>
        <v>0</v>
      </c>
      <c r="J11" s="52">
        <f>I11*'Other Factors'!$B$29/(SUM('Other Factors'!$B$29:$D$29))</f>
        <v>0</v>
      </c>
      <c r="K11" s="143">
        <f>I11*'Other Factors'!$C$29/(SUM('Other Factors'!$B$29:$D$29))</f>
        <v>0</v>
      </c>
      <c r="L11" s="144">
        <f>I11*'Other Factors'!$D$29/(SUM('Other Factors'!$B$29:$D$29))</f>
        <v>0</v>
      </c>
    </row>
    <row r="12" spans="1:12" x14ac:dyDescent="0.25">
      <c r="A12" s="12">
        <v>2023</v>
      </c>
      <c r="B12" s="52">
        <f>50000</f>
        <v>50000</v>
      </c>
      <c r="C12" s="52">
        <f>B12*('Other Factors'!$B$28+'Other Factors'!$C$28+'Other Factors'!$D$28)</f>
        <v>43799.999999999993</v>
      </c>
      <c r="D12" s="52">
        <f>B12*('Other Factors'!$B$29+'Other Factors'!$C$29+'Other Factors'!$D$29)</f>
        <v>6200</v>
      </c>
      <c r="E12" s="52">
        <f>(C12/'Other Factors'!$B$3)</f>
        <v>21899.999999999996</v>
      </c>
      <c r="F12" s="142">
        <f>E12*'Other Factors'!$B$28/(SUM('Other Factors'!$B$28:$D$28))</f>
        <v>15329.999999999998</v>
      </c>
      <c r="G12" s="142">
        <f>E12*'Other Factors'!$C$28/(SUM('Other Factors'!$B$28:$D$28))</f>
        <v>5475</v>
      </c>
      <c r="H12" s="142">
        <f>E12*'Other Factors'!$D$28/(SUM('Other Factors'!$B$28:$D$28))</f>
        <v>1095</v>
      </c>
      <c r="I12" s="52">
        <f>D12/('Other Factors'!$B$4*'Other Factors'!$B$5)</f>
        <v>13.691666666666665</v>
      </c>
      <c r="J12" s="52">
        <f>I12*'Other Factors'!$B$29/(SUM('Other Factors'!$B$29:$D$29))</f>
        <v>0</v>
      </c>
      <c r="K12" s="143">
        <f>I12*'Other Factors'!$C$29/(SUM('Other Factors'!$B$29:$D$29))</f>
        <v>0</v>
      </c>
      <c r="L12" s="144">
        <f>I12*'Other Factors'!$D$29/(SUM('Other Factors'!$B$29:$D$29))</f>
        <v>13.691666666666665</v>
      </c>
    </row>
    <row r="13" spans="1:12" x14ac:dyDescent="0.25">
      <c r="A13" s="12">
        <v>2024</v>
      </c>
      <c r="B13" s="52">
        <f>100000</f>
        <v>100000</v>
      </c>
      <c r="C13" s="52">
        <f>B13*('Other Factors'!$B$28+'Other Factors'!$C$28+'Other Factors'!$D$28)</f>
        <v>87599.999999999985</v>
      </c>
      <c r="D13" s="52">
        <f>B13*('Other Factors'!$B$29+'Other Factors'!$C$29+'Other Factors'!$D$29)</f>
        <v>12400</v>
      </c>
      <c r="E13" s="52">
        <f>(C13/'Other Factors'!$B$3)</f>
        <v>43799.999999999993</v>
      </c>
      <c r="F13" s="142">
        <f>E13*'Other Factors'!$B$28/(SUM('Other Factors'!$B$28:$D$28))</f>
        <v>30659.999999999996</v>
      </c>
      <c r="G13" s="142">
        <f>E13*'Other Factors'!$C$28/(SUM('Other Factors'!$B$28:$D$28))</f>
        <v>10950</v>
      </c>
      <c r="H13" s="142">
        <f>E13*'Other Factors'!$D$28/(SUM('Other Factors'!$B$28:$D$28))</f>
        <v>2190</v>
      </c>
      <c r="I13" s="52">
        <f>D13/('Other Factors'!$B$4*'Other Factors'!$B$5)</f>
        <v>27.383333333333329</v>
      </c>
      <c r="J13" s="52">
        <f>I13*'Other Factors'!$B$29/(SUM('Other Factors'!$B$29:$D$29))</f>
        <v>0</v>
      </c>
      <c r="K13" s="143">
        <f>I13*'Other Factors'!$C$29/(SUM('Other Factors'!$B$29:$D$29))</f>
        <v>0</v>
      </c>
      <c r="L13" s="144">
        <f>I13*'Other Factors'!$D$29/(SUM('Other Factors'!$B$29:$D$29))</f>
        <v>27.383333333333329</v>
      </c>
    </row>
    <row r="14" spans="1:12" x14ac:dyDescent="0.25">
      <c r="A14" s="12">
        <v>2025</v>
      </c>
      <c r="B14" s="52">
        <f>150000</f>
        <v>150000</v>
      </c>
      <c r="C14" s="52">
        <f>B14*('Other Factors'!$B$28+'Other Factors'!$C$28+'Other Factors'!$D$28)</f>
        <v>131399.99999999997</v>
      </c>
      <c r="D14" s="52">
        <f>B14*('Other Factors'!$B$29+'Other Factors'!$C$29+'Other Factors'!$D$29)</f>
        <v>18600</v>
      </c>
      <c r="E14" s="52">
        <f>(C14/'Other Factors'!$B$3)</f>
        <v>65699.999999999985</v>
      </c>
      <c r="F14" s="142">
        <f>E14*'Other Factors'!$B$28/(SUM('Other Factors'!$B$28:$D$28))</f>
        <v>45989.999999999993</v>
      </c>
      <c r="G14" s="142">
        <f>E14*'Other Factors'!$C$28/(SUM('Other Factors'!$B$28:$D$28))</f>
        <v>16425</v>
      </c>
      <c r="H14" s="142">
        <f>E14*'Other Factors'!$D$28/(SUM('Other Factors'!$B$28:$D$28))</f>
        <v>3285.0000000000005</v>
      </c>
      <c r="I14" s="52">
        <f>D14/('Other Factors'!$B$4*'Other Factors'!$B$5)</f>
        <v>41.074999999999996</v>
      </c>
      <c r="J14" s="52">
        <f>I14*'Other Factors'!$B$29/(SUM('Other Factors'!$B$29:$D$29))</f>
        <v>0</v>
      </c>
      <c r="K14" s="143">
        <f>I14*'Other Factors'!$C$29/(SUM('Other Factors'!$B$29:$D$29))</f>
        <v>0</v>
      </c>
      <c r="L14" s="144">
        <f>I14*'Other Factors'!$D$29/(SUM('Other Factors'!$B$29:$D$29))</f>
        <v>41.074999999999996</v>
      </c>
    </row>
    <row r="15" spans="1:12" x14ac:dyDescent="0.25">
      <c r="A15" s="12">
        <v>2026</v>
      </c>
      <c r="B15" s="52">
        <f>200000</f>
        <v>200000</v>
      </c>
      <c r="C15" s="52">
        <f>B15*('Other Factors'!$B$28+'Other Factors'!$C$28+'Other Factors'!$D$28)</f>
        <v>175199.99999999997</v>
      </c>
      <c r="D15" s="52">
        <f>B15*('Other Factors'!$B$29+'Other Factors'!$C$29+'Other Factors'!$D$29)</f>
        <v>24800</v>
      </c>
      <c r="E15" s="52">
        <f>(C15/'Other Factors'!$B$3)</f>
        <v>87599.999999999985</v>
      </c>
      <c r="F15" s="142">
        <f>E15*'Other Factors'!$B$28/(SUM('Other Factors'!$B$28:$D$28))</f>
        <v>61319.999999999993</v>
      </c>
      <c r="G15" s="142">
        <f>E15*'Other Factors'!$C$28/(SUM('Other Factors'!$B$28:$D$28))</f>
        <v>21900</v>
      </c>
      <c r="H15" s="142">
        <f>E15*'Other Factors'!$D$28/(SUM('Other Factors'!$B$28:$D$28))</f>
        <v>4380</v>
      </c>
      <c r="I15" s="52">
        <f>D15/('Other Factors'!$B$4*'Other Factors'!$B$5)</f>
        <v>54.766666666666659</v>
      </c>
      <c r="J15" s="52">
        <f>I15*'Other Factors'!$B$29/(SUM('Other Factors'!$B$29:$D$29))</f>
        <v>0</v>
      </c>
      <c r="K15" s="143">
        <f>I15*'Other Factors'!$C$29/(SUM('Other Factors'!$B$29:$D$29))</f>
        <v>0</v>
      </c>
      <c r="L15" s="144">
        <f>I15*'Other Factors'!$D$29/(SUM('Other Factors'!$B$29:$D$29))</f>
        <v>54.766666666666659</v>
      </c>
    </row>
    <row r="16" spans="1:12" x14ac:dyDescent="0.25">
      <c r="A16" s="12">
        <v>2027</v>
      </c>
      <c r="B16" s="52">
        <f>250000</f>
        <v>250000</v>
      </c>
      <c r="C16" s="52">
        <f>B16*('Other Factors'!$B$28+'Other Factors'!$C$28+'Other Factors'!$D$28)</f>
        <v>218999.99999999997</v>
      </c>
      <c r="D16" s="52">
        <f>B16*('Other Factors'!$B$29+'Other Factors'!$C$29+'Other Factors'!$D$29)</f>
        <v>31000</v>
      </c>
      <c r="E16" s="52">
        <f>(C16/'Other Factors'!$B$3)</f>
        <v>109499.99999999999</v>
      </c>
      <c r="F16" s="142">
        <f>E16*'Other Factors'!$B$28/(SUM('Other Factors'!$B$28:$D$28))</f>
        <v>76650</v>
      </c>
      <c r="G16" s="142">
        <f>E16*'Other Factors'!$C$28/(SUM('Other Factors'!$B$28:$D$28))</f>
        <v>27375</v>
      </c>
      <c r="H16" s="142">
        <f>E16*'Other Factors'!$D$28/(SUM('Other Factors'!$B$28:$D$28))</f>
        <v>5475.0000000000009</v>
      </c>
      <c r="I16" s="52">
        <f>D16/('Other Factors'!$B$4*'Other Factors'!$B$5)</f>
        <v>68.458333333333329</v>
      </c>
      <c r="J16" s="52">
        <f>I16*'Other Factors'!$B$29/(SUM('Other Factors'!$B$29:$D$29))</f>
        <v>0</v>
      </c>
      <c r="K16" s="143">
        <f>I16*'Other Factors'!$C$29/(SUM('Other Factors'!$B$29:$D$29))</f>
        <v>0</v>
      </c>
      <c r="L16" s="144">
        <f>I16*'Other Factors'!$D$29/(SUM('Other Factors'!$B$29:$D$29))</f>
        <v>68.458333333333329</v>
      </c>
    </row>
    <row r="17" spans="1:12" x14ac:dyDescent="0.25">
      <c r="A17" s="12">
        <v>2028</v>
      </c>
      <c r="B17" s="52">
        <f>300000</f>
        <v>300000</v>
      </c>
      <c r="C17" s="52">
        <f>B17*('Other Factors'!$B$28+'Other Factors'!$C$28+'Other Factors'!$D$28)</f>
        <v>262799.99999999994</v>
      </c>
      <c r="D17" s="52">
        <f>B17*('Other Factors'!$B$29+'Other Factors'!$C$29+'Other Factors'!$D$29)</f>
        <v>37200</v>
      </c>
      <c r="E17" s="52">
        <f>(C17/'Other Factors'!$B$3)</f>
        <v>131399.99999999997</v>
      </c>
      <c r="F17" s="142">
        <f>E17*'Other Factors'!$B$28/(SUM('Other Factors'!$B$28:$D$28))</f>
        <v>91979.999999999985</v>
      </c>
      <c r="G17" s="142">
        <f>E17*'Other Factors'!$C$28/(SUM('Other Factors'!$B$28:$D$28))</f>
        <v>32850</v>
      </c>
      <c r="H17" s="142">
        <f>E17*'Other Factors'!$D$28/(SUM('Other Factors'!$B$28:$D$28))</f>
        <v>6570.0000000000009</v>
      </c>
      <c r="I17" s="52">
        <f>D17/('Other Factors'!$B$4*'Other Factors'!$B$5)</f>
        <v>82.149999999999991</v>
      </c>
      <c r="J17" s="52">
        <f>I17*'Other Factors'!$B$29/(SUM('Other Factors'!$B$29:$D$29))</f>
        <v>0</v>
      </c>
      <c r="K17" s="143">
        <f>I17*'Other Factors'!$C$29/(SUM('Other Factors'!$B$29:$D$29))</f>
        <v>0</v>
      </c>
      <c r="L17" s="144">
        <f>I17*'Other Factors'!$D$29/(SUM('Other Factors'!$B$29:$D$29))</f>
        <v>82.149999999999991</v>
      </c>
    </row>
    <row r="18" spans="1:12" x14ac:dyDescent="0.25">
      <c r="A18" s="12">
        <v>2029</v>
      </c>
      <c r="B18" s="52">
        <f>400000</f>
        <v>400000</v>
      </c>
      <c r="C18" s="52">
        <f>B18*('Other Factors'!$B$28+'Other Factors'!$C$28+'Other Factors'!$D$28)</f>
        <v>350399.99999999994</v>
      </c>
      <c r="D18" s="52">
        <f>B18*('Other Factors'!$B$29+'Other Factors'!$C$29+'Other Factors'!$D$29)</f>
        <v>49600</v>
      </c>
      <c r="E18" s="52">
        <f>(C18/'Other Factors'!$B$3)</f>
        <v>175199.99999999997</v>
      </c>
      <c r="F18" s="142">
        <f>E18*'Other Factors'!$B$28/(SUM('Other Factors'!$B$28:$D$28))</f>
        <v>122639.99999999999</v>
      </c>
      <c r="G18" s="142">
        <f>E18*'Other Factors'!$C$28/(SUM('Other Factors'!$B$28:$D$28))</f>
        <v>43800</v>
      </c>
      <c r="H18" s="142">
        <f>E18*'Other Factors'!$D$28/(SUM('Other Factors'!$B$28:$D$28))</f>
        <v>8760</v>
      </c>
      <c r="I18" s="52">
        <f>D18/('Other Factors'!$B$4*'Other Factors'!$B$5)</f>
        <v>109.53333333333332</v>
      </c>
      <c r="J18" s="52">
        <f>I18*'Other Factors'!$B$29/(SUM('Other Factors'!$B$29:$D$29))</f>
        <v>0</v>
      </c>
      <c r="K18" s="143">
        <f>I18*'Other Factors'!$C$29/(SUM('Other Factors'!$B$29:$D$29))</f>
        <v>0</v>
      </c>
      <c r="L18" s="144">
        <f>I18*'Other Factors'!$D$29/(SUM('Other Factors'!$B$29:$D$29))</f>
        <v>109.53333333333332</v>
      </c>
    </row>
    <row r="19" spans="1:12" x14ac:dyDescent="0.25">
      <c r="A19" s="12">
        <v>2030</v>
      </c>
      <c r="B19" s="52">
        <f>500000</f>
        <v>500000</v>
      </c>
      <c r="C19" s="52">
        <f>B19*('Other Factors'!$B$28+'Other Factors'!$C$28+'Other Factors'!$D$28)</f>
        <v>437999.99999999994</v>
      </c>
      <c r="D19" s="52">
        <f>B19*('Other Factors'!$B$29+'Other Factors'!$C$29+'Other Factors'!$D$29)</f>
        <v>62000</v>
      </c>
      <c r="E19" s="52">
        <f>(C19/'Other Factors'!$B$3)</f>
        <v>218999.99999999997</v>
      </c>
      <c r="F19" s="142">
        <f>E19*'Other Factors'!$B$28/(SUM('Other Factors'!$B$28:$D$28))</f>
        <v>153300</v>
      </c>
      <c r="G19" s="142">
        <f>E19*'Other Factors'!$C$28/(SUM('Other Factors'!$B$28:$D$28))</f>
        <v>54750</v>
      </c>
      <c r="H19" s="142">
        <f>E19*'Other Factors'!$D$28/(SUM('Other Factors'!$B$28:$D$28))</f>
        <v>10950.000000000002</v>
      </c>
      <c r="I19" s="52">
        <f>D19/('Other Factors'!$B$4*'Other Factors'!$B$5)</f>
        <v>136.91666666666666</v>
      </c>
      <c r="J19" s="52">
        <f>I19*'Other Factors'!$B$29/(SUM('Other Factors'!$B$29:$D$29))</f>
        <v>0</v>
      </c>
      <c r="K19" s="143">
        <f>I19*'Other Factors'!$C$29/(SUM('Other Factors'!$B$29:$D$29))</f>
        <v>0</v>
      </c>
      <c r="L19" s="144">
        <f>I19*'Other Factors'!$D$29/(SUM('Other Factors'!$B$29:$D$29))</f>
        <v>136.91666666666666</v>
      </c>
    </row>
    <row r="20" spans="1:12" x14ac:dyDescent="0.25">
      <c r="A20" s="12">
        <v>2031</v>
      </c>
      <c r="B20" s="52">
        <f>600000</f>
        <v>600000</v>
      </c>
      <c r="C20" s="52">
        <f>B20*('Other Factors'!$B$28+'Other Factors'!$C$28+'Other Factors'!$D$28)</f>
        <v>525599.99999999988</v>
      </c>
      <c r="D20" s="52">
        <f>B20*('Other Factors'!$B$29+'Other Factors'!$C$29+'Other Factors'!$D$29)</f>
        <v>74400</v>
      </c>
      <c r="E20" s="52">
        <f>(C20/'Other Factors'!$B$3)</f>
        <v>262799.99999999994</v>
      </c>
      <c r="F20" s="142">
        <f>E20*'Other Factors'!$B$28/(SUM('Other Factors'!$B$28:$D$28))</f>
        <v>183959.99999999997</v>
      </c>
      <c r="G20" s="142">
        <f>E20*'Other Factors'!$C$28/(SUM('Other Factors'!$B$28:$D$28))</f>
        <v>65700</v>
      </c>
      <c r="H20" s="142">
        <f>E20*'Other Factors'!$D$28/(SUM('Other Factors'!$B$28:$D$28))</f>
        <v>13140.000000000002</v>
      </c>
      <c r="I20" s="52">
        <f>D20/('Other Factors'!$B$4*'Other Factors'!$B$5)</f>
        <v>164.29999999999998</v>
      </c>
      <c r="J20" s="52">
        <f>I20*'Other Factors'!$B$29/(SUM('Other Factors'!$B$29:$D$29))</f>
        <v>0</v>
      </c>
      <c r="K20" s="143">
        <f>I20*'Other Factors'!$C$29/(SUM('Other Factors'!$B$29:$D$29))</f>
        <v>0</v>
      </c>
      <c r="L20" s="144">
        <f>I20*'Other Factors'!$D$29/(SUM('Other Factors'!$B$29:$D$29))</f>
        <v>164.29999999999998</v>
      </c>
    </row>
    <row r="21" spans="1:12" x14ac:dyDescent="0.25">
      <c r="A21" s="12">
        <v>2032</v>
      </c>
      <c r="B21" s="52">
        <f>730000</f>
        <v>730000</v>
      </c>
      <c r="C21" s="52">
        <f>B21*('Other Factors'!$B$28+'Other Factors'!$C$28+'Other Factors'!$D$28)</f>
        <v>639479.99999999988</v>
      </c>
      <c r="D21" s="52">
        <f>B21*('Other Factors'!$B$29+'Other Factors'!$C$29+'Other Factors'!$D$29)</f>
        <v>90520</v>
      </c>
      <c r="E21" s="52">
        <f>(C21/'Other Factors'!$B$3)</f>
        <v>319739.99999999994</v>
      </c>
      <c r="F21" s="142">
        <f>E21*'Other Factors'!$B$28/(SUM('Other Factors'!$B$28:$D$28))</f>
        <v>223817.99999999997</v>
      </c>
      <c r="G21" s="142">
        <f>E21*'Other Factors'!$C$28/(SUM('Other Factors'!$B$28:$D$28))</f>
        <v>79934.999999999985</v>
      </c>
      <c r="H21" s="142">
        <f>E21*'Other Factors'!$D$28/(SUM('Other Factors'!$B$28:$D$28))</f>
        <v>15987.000000000002</v>
      </c>
      <c r="I21" s="52">
        <f>D21/('Other Factors'!$B$4*'Other Factors'!$B$5)</f>
        <v>199.89833333333331</v>
      </c>
      <c r="J21" s="52">
        <f>I21*'Other Factors'!$B$29/(SUM('Other Factors'!$B$29:$D$29))</f>
        <v>0</v>
      </c>
      <c r="K21" s="143">
        <f>I21*'Other Factors'!$C$29/(SUM('Other Factors'!$B$29:$D$29))</f>
        <v>0</v>
      </c>
      <c r="L21" s="144">
        <f>I21*'Other Factors'!$D$29/(SUM('Other Factors'!$B$29:$D$29))</f>
        <v>199.89833333333331</v>
      </c>
    </row>
    <row r="22" spans="1:12" x14ac:dyDescent="0.25">
      <c r="A22" s="12">
        <v>2033</v>
      </c>
      <c r="B22" s="52">
        <f t="shared" ref="B22:B40" si="0">B21</f>
        <v>730000</v>
      </c>
      <c r="C22" s="52">
        <f>B22*('Other Factors'!$B$28+'Other Factors'!$C$28+'Other Factors'!$D$28)</f>
        <v>639479.99999999988</v>
      </c>
      <c r="D22" s="52">
        <f>B22*('Other Factors'!$B$29+'Other Factors'!$C$29+'Other Factors'!$D$29)</f>
        <v>90520</v>
      </c>
      <c r="E22" s="52">
        <f>(C22/'Other Factors'!$B$3)</f>
        <v>319739.99999999994</v>
      </c>
      <c r="F22" s="142">
        <f>E22*'Other Factors'!$B$28/(SUM('Other Factors'!$B$28:$D$28))</f>
        <v>223817.99999999997</v>
      </c>
      <c r="G22" s="142">
        <f>E22*'Other Factors'!$C$28/(SUM('Other Factors'!$B$28:$D$28))</f>
        <v>79934.999999999985</v>
      </c>
      <c r="H22" s="142">
        <f>E22*'Other Factors'!$D$28/(SUM('Other Factors'!$B$28:$D$28))</f>
        <v>15987.000000000002</v>
      </c>
      <c r="I22" s="52">
        <f>D22/('Other Factors'!$B$4*'Other Factors'!$B$5)</f>
        <v>199.89833333333331</v>
      </c>
      <c r="J22" s="52">
        <f>I22*'Other Factors'!$B$29/(SUM('Other Factors'!$B$29:$D$29))</f>
        <v>0</v>
      </c>
      <c r="K22" s="143">
        <f>I22*'Other Factors'!$C$29/(SUM('Other Factors'!$B$29:$D$29))</f>
        <v>0</v>
      </c>
      <c r="L22" s="144">
        <f>I22*'Other Factors'!$D$29/(SUM('Other Factors'!$B$29:$D$29))</f>
        <v>199.89833333333331</v>
      </c>
    </row>
    <row r="23" spans="1:12" x14ac:dyDescent="0.25">
      <c r="A23" s="12">
        <v>2034</v>
      </c>
      <c r="B23" s="52">
        <f t="shared" si="0"/>
        <v>730000</v>
      </c>
      <c r="C23" s="52">
        <f>B23*('Other Factors'!$B$28+'Other Factors'!$C$28+'Other Factors'!$D$28)</f>
        <v>639479.99999999988</v>
      </c>
      <c r="D23" s="52">
        <f>B23*('Other Factors'!$B$29+'Other Factors'!$C$29+'Other Factors'!$D$29)</f>
        <v>90520</v>
      </c>
      <c r="E23" s="52">
        <f>(C23/'Other Factors'!$B$3)</f>
        <v>319739.99999999994</v>
      </c>
      <c r="F23" s="142">
        <f>E23*'Other Factors'!$B$28/(SUM('Other Factors'!$B$28:$D$28))</f>
        <v>223817.99999999997</v>
      </c>
      <c r="G23" s="142">
        <f>E23*'Other Factors'!$C$28/(SUM('Other Factors'!$B$28:$D$28))</f>
        <v>79934.999999999985</v>
      </c>
      <c r="H23" s="142">
        <f>E23*'Other Factors'!$D$28/(SUM('Other Factors'!$B$28:$D$28))</f>
        <v>15987.000000000002</v>
      </c>
      <c r="I23" s="52">
        <f>D23/('Other Factors'!$B$4*'Other Factors'!$B$5)</f>
        <v>199.89833333333331</v>
      </c>
      <c r="J23" s="52">
        <f>I23*'Other Factors'!$B$29/(SUM('Other Factors'!$B$29:$D$29))</f>
        <v>0</v>
      </c>
      <c r="K23" s="143">
        <f>I23*'Other Factors'!$C$29/(SUM('Other Factors'!$B$29:$D$29))</f>
        <v>0</v>
      </c>
      <c r="L23" s="144">
        <f>I23*'Other Factors'!$D$29/(SUM('Other Factors'!$B$29:$D$29))</f>
        <v>199.89833333333331</v>
      </c>
    </row>
    <row r="24" spans="1:12" x14ac:dyDescent="0.25">
      <c r="A24" s="12">
        <v>2035</v>
      </c>
      <c r="B24" s="52">
        <f t="shared" si="0"/>
        <v>730000</v>
      </c>
      <c r="C24" s="52">
        <f>B24*('Other Factors'!$B$28+'Other Factors'!$C$28+'Other Factors'!$D$28)</f>
        <v>639479.99999999988</v>
      </c>
      <c r="D24" s="52">
        <f>B24*('Other Factors'!$B$29+'Other Factors'!$C$29+'Other Factors'!$D$29)</f>
        <v>90520</v>
      </c>
      <c r="E24" s="52">
        <f>(C24/'Other Factors'!$B$3)</f>
        <v>319739.99999999994</v>
      </c>
      <c r="F24" s="142">
        <f>E24*'Other Factors'!$B$28/(SUM('Other Factors'!$B$28:$D$28))</f>
        <v>223817.99999999997</v>
      </c>
      <c r="G24" s="142">
        <f>E24*'Other Factors'!$C$28/(SUM('Other Factors'!$B$28:$D$28))</f>
        <v>79934.999999999985</v>
      </c>
      <c r="H24" s="142">
        <f>E24*'Other Factors'!$D$28/(SUM('Other Factors'!$B$28:$D$28))</f>
        <v>15987.000000000002</v>
      </c>
      <c r="I24" s="52">
        <f>D24/('Other Factors'!$B$4*'Other Factors'!$B$5)</f>
        <v>199.89833333333331</v>
      </c>
      <c r="J24" s="52">
        <f>I24*'Other Factors'!$B$29/(SUM('Other Factors'!$B$29:$D$29))</f>
        <v>0</v>
      </c>
      <c r="K24" s="143">
        <f>I24*'Other Factors'!$C$29/(SUM('Other Factors'!$B$29:$D$29))</f>
        <v>0</v>
      </c>
      <c r="L24" s="144">
        <f>I24*'Other Factors'!$D$29/(SUM('Other Factors'!$B$29:$D$29))</f>
        <v>199.89833333333331</v>
      </c>
    </row>
    <row r="25" spans="1:12" x14ac:dyDescent="0.25">
      <c r="A25" s="12">
        <v>2036</v>
      </c>
      <c r="B25" s="52">
        <f t="shared" si="0"/>
        <v>730000</v>
      </c>
      <c r="C25" s="52">
        <f>B25*('Other Factors'!$B$28+'Other Factors'!$C$28+'Other Factors'!$D$28)</f>
        <v>639479.99999999988</v>
      </c>
      <c r="D25" s="52">
        <f>B25*('Other Factors'!$B$29+'Other Factors'!$C$29+'Other Factors'!$D$29)</f>
        <v>90520</v>
      </c>
      <c r="E25" s="52">
        <f>(C25/'Other Factors'!$B$3)</f>
        <v>319739.99999999994</v>
      </c>
      <c r="F25" s="142">
        <f>E25*'Other Factors'!$B$28/(SUM('Other Factors'!$B$28:$D$28))</f>
        <v>223817.99999999997</v>
      </c>
      <c r="G25" s="142">
        <f>E25*'Other Factors'!$C$28/(SUM('Other Factors'!$B$28:$D$28))</f>
        <v>79934.999999999985</v>
      </c>
      <c r="H25" s="142">
        <f>E25*'Other Factors'!$D$28/(SUM('Other Factors'!$B$28:$D$28))</f>
        <v>15987.000000000002</v>
      </c>
      <c r="I25" s="52">
        <f>D25/('Other Factors'!$B$4*'Other Factors'!$B$5)</f>
        <v>199.89833333333331</v>
      </c>
      <c r="J25" s="52">
        <f>I25*'Other Factors'!$B$29/(SUM('Other Factors'!$B$29:$D$29))</f>
        <v>0</v>
      </c>
      <c r="K25" s="143">
        <f>I25*'Other Factors'!$C$29/(SUM('Other Factors'!$B$29:$D$29))</f>
        <v>0</v>
      </c>
      <c r="L25" s="144">
        <f>I25*'Other Factors'!$D$29/(SUM('Other Factors'!$B$29:$D$29))</f>
        <v>199.89833333333331</v>
      </c>
    </row>
    <row r="26" spans="1:12" x14ac:dyDescent="0.25">
      <c r="A26" s="12">
        <v>2037</v>
      </c>
      <c r="B26" s="52">
        <f t="shared" si="0"/>
        <v>730000</v>
      </c>
      <c r="C26" s="52">
        <f>B26*('Other Factors'!$B$28+'Other Factors'!$C$28+'Other Factors'!$D$28)</f>
        <v>639479.99999999988</v>
      </c>
      <c r="D26" s="52">
        <f>B26*('Other Factors'!$B$29+'Other Factors'!$C$29+'Other Factors'!$D$29)</f>
        <v>90520</v>
      </c>
      <c r="E26" s="52">
        <f>(C26/'Other Factors'!$B$3)</f>
        <v>319739.99999999994</v>
      </c>
      <c r="F26" s="142">
        <f>E26*'Other Factors'!$B$28/(SUM('Other Factors'!$B$28:$D$28))</f>
        <v>223817.99999999997</v>
      </c>
      <c r="G26" s="142">
        <f>E26*'Other Factors'!$C$28/(SUM('Other Factors'!$B$28:$D$28))</f>
        <v>79934.999999999985</v>
      </c>
      <c r="H26" s="142">
        <f>E26*'Other Factors'!$D$28/(SUM('Other Factors'!$B$28:$D$28))</f>
        <v>15987.000000000002</v>
      </c>
      <c r="I26" s="52">
        <f>D26/('Other Factors'!$B$4*'Other Factors'!$B$5)</f>
        <v>199.89833333333331</v>
      </c>
      <c r="J26" s="52">
        <f>I26*'Other Factors'!$B$29/(SUM('Other Factors'!$B$29:$D$29))</f>
        <v>0</v>
      </c>
      <c r="K26" s="143">
        <f>I26*'Other Factors'!$C$29/(SUM('Other Factors'!$B$29:$D$29))</f>
        <v>0</v>
      </c>
      <c r="L26" s="144">
        <f>I26*'Other Factors'!$D$29/(SUM('Other Factors'!$B$29:$D$29))</f>
        <v>199.89833333333331</v>
      </c>
    </row>
    <row r="27" spans="1:12" x14ac:dyDescent="0.25">
      <c r="A27" s="12">
        <v>2038</v>
      </c>
      <c r="B27" s="52">
        <f t="shared" si="0"/>
        <v>730000</v>
      </c>
      <c r="C27" s="52">
        <f>B27*('Other Factors'!$B$28+'Other Factors'!$C$28+'Other Factors'!$D$28)</f>
        <v>639479.99999999988</v>
      </c>
      <c r="D27" s="52">
        <f>B27*('Other Factors'!$B$29+'Other Factors'!$C$29+'Other Factors'!$D$29)</f>
        <v>90520</v>
      </c>
      <c r="E27" s="52">
        <f>(C27/'Other Factors'!$B$3)</f>
        <v>319739.99999999994</v>
      </c>
      <c r="F27" s="142">
        <f>E27*'Other Factors'!$B$28/(SUM('Other Factors'!$B$28:$D$28))</f>
        <v>223817.99999999997</v>
      </c>
      <c r="G27" s="142">
        <f>E27*'Other Factors'!$C$28/(SUM('Other Factors'!$B$28:$D$28))</f>
        <v>79934.999999999985</v>
      </c>
      <c r="H27" s="142">
        <f>E27*'Other Factors'!$D$28/(SUM('Other Factors'!$B$28:$D$28))</f>
        <v>15987.000000000002</v>
      </c>
      <c r="I27" s="52">
        <f>D27/('Other Factors'!$B$4*'Other Factors'!$B$5)</f>
        <v>199.89833333333331</v>
      </c>
      <c r="J27" s="52">
        <f>I27*'Other Factors'!$B$29/(SUM('Other Factors'!$B$29:$D$29))</f>
        <v>0</v>
      </c>
      <c r="K27" s="143">
        <f>I27*'Other Factors'!$C$29/(SUM('Other Factors'!$B$29:$D$29))</f>
        <v>0</v>
      </c>
      <c r="L27" s="144">
        <f>I27*'Other Factors'!$D$29/(SUM('Other Factors'!$B$29:$D$29))</f>
        <v>199.89833333333331</v>
      </c>
    </row>
    <row r="28" spans="1:12" x14ac:dyDescent="0.25">
      <c r="A28" s="12">
        <v>2039</v>
      </c>
      <c r="B28" s="52">
        <f t="shared" si="0"/>
        <v>730000</v>
      </c>
      <c r="C28" s="52">
        <f>B28*('Other Factors'!$B$28+'Other Factors'!$C$28+'Other Factors'!$D$28)</f>
        <v>639479.99999999988</v>
      </c>
      <c r="D28" s="52">
        <f>B28*('Other Factors'!$B$29+'Other Factors'!$C$29+'Other Factors'!$D$29)</f>
        <v>90520</v>
      </c>
      <c r="E28" s="52">
        <f>(C28/'Other Factors'!$B$3)</f>
        <v>319739.99999999994</v>
      </c>
      <c r="F28" s="142">
        <f>E28*'Other Factors'!$B$28/(SUM('Other Factors'!$B$28:$D$28))</f>
        <v>223817.99999999997</v>
      </c>
      <c r="G28" s="142">
        <f>E28*'Other Factors'!$C$28/(SUM('Other Factors'!$B$28:$D$28))</f>
        <v>79934.999999999985</v>
      </c>
      <c r="H28" s="142">
        <f>E28*'Other Factors'!$D$28/(SUM('Other Factors'!$B$28:$D$28))</f>
        <v>15987.000000000002</v>
      </c>
      <c r="I28" s="52">
        <f>D28/('Other Factors'!$B$4*'Other Factors'!$B$5)</f>
        <v>199.89833333333331</v>
      </c>
      <c r="J28" s="52">
        <f>I28*'Other Factors'!$B$29/(SUM('Other Factors'!$B$29:$D$29))</f>
        <v>0</v>
      </c>
      <c r="K28" s="143">
        <f>I28*'Other Factors'!$C$29/(SUM('Other Factors'!$B$29:$D$29))</f>
        <v>0</v>
      </c>
      <c r="L28" s="144">
        <f>I28*'Other Factors'!$D$29/(SUM('Other Factors'!$B$29:$D$29))</f>
        <v>199.89833333333331</v>
      </c>
    </row>
    <row r="29" spans="1:12" x14ac:dyDescent="0.25">
      <c r="A29" s="12">
        <v>2040</v>
      </c>
      <c r="B29" s="52">
        <f t="shared" si="0"/>
        <v>730000</v>
      </c>
      <c r="C29" s="52">
        <f>B29*('Other Factors'!$B$28+'Other Factors'!$C$28+'Other Factors'!$D$28)</f>
        <v>639479.99999999988</v>
      </c>
      <c r="D29" s="52">
        <f>B29*('Other Factors'!$B$29+'Other Factors'!$C$29+'Other Factors'!$D$29)</f>
        <v>90520</v>
      </c>
      <c r="E29" s="52">
        <f>(C29/'Other Factors'!$B$3)</f>
        <v>319739.99999999994</v>
      </c>
      <c r="F29" s="142">
        <f>E29*'Other Factors'!$B$28/(SUM('Other Factors'!$B$28:$D$28))</f>
        <v>223817.99999999997</v>
      </c>
      <c r="G29" s="142">
        <f>E29*'Other Factors'!$C$28/(SUM('Other Factors'!$B$28:$D$28))</f>
        <v>79934.999999999985</v>
      </c>
      <c r="H29" s="142">
        <f>E29*'Other Factors'!$D$28/(SUM('Other Factors'!$B$28:$D$28))</f>
        <v>15987.000000000002</v>
      </c>
      <c r="I29" s="52">
        <f>D29/('Other Factors'!$B$4*'Other Factors'!$B$5)</f>
        <v>199.89833333333331</v>
      </c>
      <c r="J29" s="52">
        <f>I29*'Other Factors'!$B$29/(SUM('Other Factors'!$B$29:$D$29))</f>
        <v>0</v>
      </c>
      <c r="K29" s="143">
        <f>I29*'Other Factors'!$C$29/(SUM('Other Factors'!$B$29:$D$29))</f>
        <v>0</v>
      </c>
      <c r="L29" s="144">
        <f>I29*'Other Factors'!$D$29/(SUM('Other Factors'!$B$29:$D$29))</f>
        <v>199.89833333333331</v>
      </c>
    </row>
    <row r="30" spans="1:12" x14ac:dyDescent="0.25">
      <c r="A30" s="12">
        <v>2041</v>
      </c>
      <c r="B30" s="52">
        <f t="shared" si="0"/>
        <v>730000</v>
      </c>
      <c r="C30" s="52">
        <f>B30*('Other Factors'!$B$28+'Other Factors'!$C$28+'Other Factors'!$D$28)</f>
        <v>639479.99999999988</v>
      </c>
      <c r="D30" s="52">
        <f>B30*('Other Factors'!$B$29+'Other Factors'!$C$29+'Other Factors'!$D$29)</f>
        <v>90520</v>
      </c>
      <c r="E30" s="52">
        <f>(C30/'Other Factors'!$B$3)</f>
        <v>319739.99999999994</v>
      </c>
      <c r="F30" s="142">
        <f>E30*'Other Factors'!$B$28/(SUM('Other Factors'!$B$28:$D$28))</f>
        <v>223817.99999999997</v>
      </c>
      <c r="G30" s="142">
        <f>E30*'Other Factors'!$C$28/(SUM('Other Factors'!$B$28:$D$28))</f>
        <v>79934.999999999985</v>
      </c>
      <c r="H30" s="142">
        <f>E30*'Other Factors'!$D$28/(SUM('Other Factors'!$B$28:$D$28))</f>
        <v>15987.000000000002</v>
      </c>
      <c r="I30" s="52">
        <f>D30/('Other Factors'!$B$4*'Other Factors'!$B$5)</f>
        <v>199.89833333333331</v>
      </c>
      <c r="J30" s="52">
        <f>I30*'Other Factors'!$B$29/(SUM('Other Factors'!$B$29:$D$29))</f>
        <v>0</v>
      </c>
      <c r="K30" s="143">
        <f>I30*'Other Factors'!$C$29/(SUM('Other Factors'!$B$29:$D$29))</f>
        <v>0</v>
      </c>
      <c r="L30" s="144">
        <f>I30*'Other Factors'!$D$29/(SUM('Other Factors'!$B$29:$D$29))</f>
        <v>199.89833333333331</v>
      </c>
    </row>
    <row r="31" spans="1:12" x14ac:dyDescent="0.25">
      <c r="A31" s="12">
        <v>2042</v>
      </c>
      <c r="B31" s="52">
        <f t="shared" si="0"/>
        <v>730000</v>
      </c>
      <c r="C31" s="52">
        <f>B31*('Other Factors'!$B$28+'Other Factors'!$C$28+'Other Factors'!$D$28)</f>
        <v>639479.99999999988</v>
      </c>
      <c r="D31" s="52">
        <f>B31*('Other Factors'!$B$29+'Other Factors'!$C$29+'Other Factors'!$D$29)</f>
        <v>90520</v>
      </c>
      <c r="E31" s="52">
        <f>(C31/'Other Factors'!$B$3)</f>
        <v>319739.99999999994</v>
      </c>
      <c r="F31" s="142">
        <f>E31*'Other Factors'!$B$28/(SUM('Other Factors'!$B$28:$D$28))</f>
        <v>223817.99999999997</v>
      </c>
      <c r="G31" s="142">
        <f>E31*'Other Factors'!$C$28/(SUM('Other Factors'!$B$28:$D$28))</f>
        <v>79934.999999999985</v>
      </c>
      <c r="H31" s="142">
        <f>E31*'Other Factors'!$D$28/(SUM('Other Factors'!$B$28:$D$28))</f>
        <v>15987.000000000002</v>
      </c>
      <c r="I31" s="52">
        <f>D31/('Other Factors'!$B$4*'Other Factors'!$B$5)</f>
        <v>199.89833333333331</v>
      </c>
      <c r="J31" s="52">
        <f>I31*'Other Factors'!$B$29/(SUM('Other Factors'!$B$29:$D$29))</f>
        <v>0</v>
      </c>
      <c r="K31" s="143">
        <f>I31*'Other Factors'!$C$29/(SUM('Other Factors'!$B$29:$D$29))</f>
        <v>0</v>
      </c>
      <c r="L31" s="144">
        <f>I31*'Other Factors'!$D$29/(SUM('Other Factors'!$B$29:$D$29))</f>
        <v>199.89833333333331</v>
      </c>
    </row>
    <row r="32" spans="1:12" x14ac:dyDescent="0.25">
      <c r="A32" s="12">
        <v>2043</v>
      </c>
      <c r="B32" s="52">
        <f t="shared" si="0"/>
        <v>730000</v>
      </c>
      <c r="C32" s="52">
        <f>B32*('Other Factors'!$B$28+'Other Factors'!$C$28+'Other Factors'!$D$28)</f>
        <v>639479.99999999988</v>
      </c>
      <c r="D32" s="52">
        <f>B32*('Other Factors'!$B$29+'Other Factors'!$C$29+'Other Factors'!$D$29)</f>
        <v>90520</v>
      </c>
      <c r="E32" s="52">
        <f>(C32/'Other Factors'!$B$3)</f>
        <v>319739.99999999994</v>
      </c>
      <c r="F32" s="142">
        <f>E32*'Other Factors'!$B$28/(SUM('Other Factors'!$B$28:$D$28))</f>
        <v>223817.99999999997</v>
      </c>
      <c r="G32" s="142">
        <f>E32*'Other Factors'!$C$28/(SUM('Other Factors'!$B$28:$D$28))</f>
        <v>79934.999999999985</v>
      </c>
      <c r="H32" s="142">
        <f>E32*'Other Factors'!$D$28/(SUM('Other Factors'!$B$28:$D$28))</f>
        <v>15987.000000000002</v>
      </c>
      <c r="I32" s="52">
        <f>D32/('Other Factors'!$B$4*'Other Factors'!$B$5)</f>
        <v>199.89833333333331</v>
      </c>
      <c r="J32" s="52">
        <f>I32*'Other Factors'!$B$29/(SUM('Other Factors'!$B$29:$D$29))</f>
        <v>0</v>
      </c>
      <c r="K32" s="143">
        <f>I32*'Other Factors'!$C$29/(SUM('Other Factors'!$B$29:$D$29))</f>
        <v>0</v>
      </c>
      <c r="L32" s="144">
        <f>I32*'Other Factors'!$D$29/(SUM('Other Factors'!$B$29:$D$29))</f>
        <v>199.89833333333331</v>
      </c>
    </row>
    <row r="33" spans="1:15" x14ac:dyDescent="0.25">
      <c r="A33" s="12">
        <v>2044</v>
      </c>
      <c r="B33" s="52">
        <f t="shared" si="0"/>
        <v>730000</v>
      </c>
      <c r="C33" s="52">
        <f>B33*('Other Factors'!$B$28+'Other Factors'!$C$28+'Other Factors'!$D$28)</f>
        <v>639479.99999999988</v>
      </c>
      <c r="D33" s="52">
        <f>B33*('Other Factors'!$B$29+'Other Factors'!$C$29+'Other Factors'!$D$29)</f>
        <v>90520</v>
      </c>
      <c r="E33" s="52">
        <f>(C33/'Other Factors'!$B$3)</f>
        <v>319739.99999999994</v>
      </c>
      <c r="F33" s="142">
        <f>E33*'Other Factors'!$B$28/(SUM('Other Factors'!$B$28:$D$28))</f>
        <v>223817.99999999997</v>
      </c>
      <c r="G33" s="142">
        <f>E33*'Other Factors'!$C$28/(SUM('Other Factors'!$B$28:$D$28))</f>
        <v>79934.999999999985</v>
      </c>
      <c r="H33" s="142">
        <f>E33*'Other Factors'!$D$28/(SUM('Other Factors'!$B$28:$D$28))</f>
        <v>15987.000000000002</v>
      </c>
      <c r="I33" s="52">
        <f>D33/('Other Factors'!$B$4*'Other Factors'!$B$5)</f>
        <v>199.89833333333331</v>
      </c>
      <c r="J33" s="52">
        <f>I33*'Other Factors'!$B$29/(SUM('Other Factors'!$B$29:$D$29))</f>
        <v>0</v>
      </c>
      <c r="K33" s="143">
        <f>I33*'Other Factors'!$C$29/(SUM('Other Factors'!$B$29:$D$29))</f>
        <v>0</v>
      </c>
      <c r="L33" s="144">
        <f>I33*'Other Factors'!$D$29/(SUM('Other Factors'!$B$29:$D$29))</f>
        <v>199.89833333333331</v>
      </c>
    </row>
    <row r="34" spans="1:15" x14ac:dyDescent="0.25">
      <c r="A34" s="12">
        <v>2045</v>
      </c>
      <c r="B34" s="52">
        <f t="shared" si="0"/>
        <v>730000</v>
      </c>
      <c r="C34" s="52">
        <f>B34*('Other Factors'!$B$28+'Other Factors'!$C$28+'Other Factors'!$D$28)</f>
        <v>639479.99999999988</v>
      </c>
      <c r="D34" s="52">
        <f>B34*('Other Factors'!$B$29+'Other Factors'!$C$29+'Other Factors'!$D$29)</f>
        <v>90520</v>
      </c>
      <c r="E34" s="52">
        <f>(C34/'Other Factors'!$B$3)</f>
        <v>319739.99999999994</v>
      </c>
      <c r="F34" s="142">
        <f>E34*'Other Factors'!$B$28/(SUM('Other Factors'!$B$28:$D$28))</f>
        <v>223817.99999999997</v>
      </c>
      <c r="G34" s="142">
        <f>E34*'Other Factors'!$C$28/(SUM('Other Factors'!$B$28:$D$28))</f>
        <v>79934.999999999985</v>
      </c>
      <c r="H34" s="142">
        <f>E34*'Other Factors'!$D$28/(SUM('Other Factors'!$B$28:$D$28))</f>
        <v>15987.000000000002</v>
      </c>
      <c r="I34" s="52">
        <f>D34/('Other Factors'!$B$4*'Other Factors'!$B$5)</f>
        <v>199.89833333333331</v>
      </c>
      <c r="J34" s="52">
        <f>I34*'Other Factors'!$B$29/(SUM('Other Factors'!$B$29:$D$29))</f>
        <v>0</v>
      </c>
      <c r="K34" s="143">
        <f>I34*'Other Factors'!$C$29/(SUM('Other Factors'!$B$29:$D$29))</f>
        <v>0</v>
      </c>
      <c r="L34" s="144">
        <f>I34*'Other Factors'!$D$29/(SUM('Other Factors'!$B$29:$D$29))</f>
        <v>199.89833333333331</v>
      </c>
    </row>
    <row r="35" spans="1:15" x14ac:dyDescent="0.25">
      <c r="A35" s="12">
        <v>2046</v>
      </c>
      <c r="B35" s="52">
        <f t="shared" si="0"/>
        <v>730000</v>
      </c>
      <c r="C35" s="52">
        <f>B35*('Other Factors'!$B$28+'Other Factors'!$C$28+'Other Factors'!$D$28)</f>
        <v>639479.99999999988</v>
      </c>
      <c r="D35" s="52">
        <f>B35*('Other Factors'!$B$29+'Other Factors'!$C$29+'Other Factors'!$D$29)</f>
        <v>90520</v>
      </c>
      <c r="E35" s="52">
        <f>(C35/'Other Factors'!$B$3)</f>
        <v>319739.99999999994</v>
      </c>
      <c r="F35" s="142">
        <f>E35*'Other Factors'!$B$28/(SUM('Other Factors'!$B$28:$D$28))</f>
        <v>223817.99999999997</v>
      </c>
      <c r="G35" s="142">
        <f>E35*'Other Factors'!$C$28/(SUM('Other Factors'!$B$28:$D$28))</f>
        <v>79934.999999999985</v>
      </c>
      <c r="H35" s="142">
        <f>E35*'Other Factors'!$D$28/(SUM('Other Factors'!$B$28:$D$28))</f>
        <v>15987.000000000002</v>
      </c>
      <c r="I35" s="52">
        <f>D35/('Other Factors'!$B$4*'Other Factors'!$B$5)</f>
        <v>199.89833333333331</v>
      </c>
      <c r="J35" s="52">
        <f>I35*'Other Factors'!$B$29/(SUM('Other Factors'!$B$29:$D$29))</f>
        <v>0</v>
      </c>
      <c r="K35" s="143">
        <f>I35*'Other Factors'!$C$29/(SUM('Other Factors'!$B$29:$D$29))</f>
        <v>0</v>
      </c>
      <c r="L35" s="144">
        <f>I35*'Other Factors'!$D$29/(SUM('Other Factors'!$B$29:$D$29))</f>
        <v>199.89833333333331</v>
      </c>
    </row>
    <row r="36" spans="1:15" x14ac:dyDescent="0.25">
      <c r="A36" s="12">
        <v>2047</v>
      </c>
      <c r="B36" s="52">
        <f t="shared" si="0"/>
        <v>730000</v>
      </c>
      <c r="C36" s="52">
        <f>B36*('Other Factors'!$B$28+'Other Factors'!$C$28+'Other Factors'!$D$28)</f>
        <v>639479.99999999988</v>
      </c>
      <c r="D36" s="52">
        <f>B36*('Other Factors'!$B$29+'Other Factors'!$C$29+'Other Factors'!$D$29)</f>
        <v>90520</v>
      </c>
      <c r="E36" s="52">
        <f>(C36/'Other Factors'!$B$3)</f>
        <v>319739.99999999994</v>
      </c>
      <c r="F36" s="142">
        <f>E36*'Other Factors'!$B$28/(SUM('Other Factors'!$B$28:$D$28))</f>
        <v>223817.99999999997</v>
      </c>
      <c r="G36" s="142">
        <f>E36*'Other Factors'!$C$28/(SUM('Other Factors'!$B$28:$D$28))</f>
        <v>79934.999999999985</v>
      </c>
      <c r="H36" s="142">
        <f>E36*'Other Factors'!$D$28/(SUM('Other Factors'!$B$28:$D$28))</f>
        <v>15987.000000000002</v>
      </c>
      <c r="I36" s="52">
        <f>D36/('Other Factors'!$B$4*'Other Factors'!$B$5)</f>
        <v>199.89833333333331</v>
      </c>
      <c r="J36" s="52">
        <f>I36*'Other Factors'!$B$29/(SUM('Other Factors'!$B$29:$D$29))</f>
        <v>0</v>
      </c>
      <c r="K36" s="143">
        <f>I36*'Other Factors'!$C$29/(SUM('Other Factors'!$B$29:$D$29))</f>
        <v>0</v>
      </c>
      <c r="L36" s="144">
        <f>I36*'Other Factors'!$D$29/(SUM('Other Factors'!$B$29:$D$29))</f>
        <v>199.89833333333331</v>
      </c>
    </row>
    <row r="37" spans="1:15" x14ac:dyDescent="0.25">
      <c r="A37" s="12">
        <v>2048</v>
      </c>
      <c r="B37" s="52">
        <f t="shared" si="0"/>
        <v>730000</v>
      </c>
      <c r="C37" s="52">
        <f>B37*('Other Factors'!$B$28+'Other Factors'!$C$28+'Other Factors'!$D$28)</f>
        <v>639479.99999999988</v>
      </c>
      <c r="D37" s="52">
        <f>B37*('Other Factors'!$B$29+'Other Factors'!$C$29+'Other Factors'!$D$29)</f>
        <v>90520</v>
      </c>
      <c r="E37" s="52">
        <f>(C37/'Other Factors'!$B$3)</f>
        <v>319739.99999999994</v>
      </c>
      <c r="F37" s="142">
        <f>E37*'Other Factors'!$B$28/(SUM('Other Factors'!$B$28:$D$28))</f>
        <v>223817.99999999997</v>
      </c>
      <c r="G37" s="142">
        <f>E37*'Other Factors'!$C$28/(SUM('Other Factors'!$B$28:$D$28))</f>
        <v>79934.999999999985</v>
      </c>
      <c r="H37" s="142">
        <f>E37*'Other Factors'!$D$28/(SUM('Other Factors'!$B$28:$D$28))</f>
        <v>15987.000000000002</v>
      </c>
      <c r="I37" s="52">
        <f>D37/('Other Factors'!$B$4*'Other Factors'!$B$5)</f>
        <v>199.89833333333331</v>
      </c>
      <c r="J37" s="52">
        <f>I37*'Other Factors'!$B$29/(SUM('Other Factors'!$B$29:$D$29))</f>
        <v>0</v>
      </c>
      <c r="K37" s="143">
        <f>I37*'Other Factors'!$C$29/(SUM('Other Factors'!$B$29:$D$29))</f>
        <v>0</v>
      </c>
      <c r="L37" s="144">
        <f>I37*'Other Factors'!$D$29/(SUM('Other Factors'!$B$29:$D$29))</f>
        <v>199.89833333333331</v>
      </c>
    </row>
    <row r="38" spans="1:15" x14ac:dyDescent="0.25">
      <c r="A38" s="12">
        <v>2049</v>
      </c>
      <c r="B38" s="52">
        <f t="shared" si="0"/>
        <v>730000</v>
      </c>
      <c r="C38" s="52">
        <f>B38*('Other Factors'!$B$28+'Other Factors'!$C$28+'Other Factors'!$D$28)</f>
        <v>639479.99999999988</v>
      </c>
      <c r="D38" s="52">
        <f>B38*('Other Factors'!$B$29+'Other Factors'!$C$29+'Other Factors'!$D$29)</f>
        <v>90520</v>
      </c>
      <c r="E38" s="52">
        <f>(C38/'Other Factors'!$B$3)</f>
        <v>319739.99999999994</v>
      </c>
      <c r="F38" s="142">
        <f>E38*'Other Factors'!$B$28/(SUM('Other Factors'!$B$28:$D$28))</f>
        <v>223817.99999999997</v>
      </c>
      <c r="G38" s="142">
        <f>E38*'Other Factors'!$C$28/(SUM('Other Factors'!$B$28:$D$28))</f>
        <v>79934.999999999985</v>
      </c>
      <c r="H38" s="142">
        <f>E38*'Other Factors'!$D$28/(SUM('Other Factors'!$B$28:$D$28))</f>
        <v>15987.000000000002</v>
      </c>
      <c r="I38" s="52">
        <f>D38/('Other Factors'!$B$4*'Other Factors'!$B$5)</f>
        <v>199.89833333333331</v>
      </c>
      <c r="J38" s="52">
        <f>I38*'Other Factors'!$B$29/(SUM('Other Factors'!$B$29:$D$29))</f>
        <v>0</v>
      </c>
      <c r="K38" s="143">
        <f>I38*'Other Factors'!$C$29/(SUM('Other Factors'!$B$29:$D$29))</f>
        <v>0</v>
      </c>
      <c r="L38" s="144">
        <f>I38*'Other Factors'!$D$29/(SUM('Other Factors'!$B$29:$D$29))</f>
        <v>199.89833333333331</v>
      </c>
    </row>
    <row r="39" spans="1:15" x14ac:dyDescent="0.25">
      <c r="A39" s="12">
        <v>2050</v>
      </c>
      <c r="B39" s="52">
        <f t="shared" si="0"/>
        <v>730000</v>
      </c>
      <c r="C39" s="52">
        <f>B39*('Other Factors'!$B$28+'Other Factors'!$C$28+'Other Factors'!$D$28)</f>
        <v>639479.99999999988</v>
      </c>
      <c r="D39" s="52">
        <f>B39*('Other Factors'!$B$29+'Other Factors'!$C$29+'Other Factors'!$D$29)</f>
        <v>90520</v>
      </c>
      <c r="E39" s="52">
        <f>(C39/'Other Factors'!$B$3)</f>
        <v>319739.99999999994</v>
      </c>
      <c r="F39" s="142">
        <f>E39*'Other Factors'!$B$28/(SUM('Other Factors'!$B$28:$D$28))</f>
        <v>223817.99999999997</v>
      </c>
      <c r="G39" s="142">
        <f>E39*'Other Factors'!$C$28/(SUM('Other Factors'!$B$28:$D$28))</f>
        <v>79934.999999999985</v>
      </c>
      <c r="H39" s="142">
        <f>E39*'Other Factors'!$D$28/(SUM('Other Factors'!$B$28:$D$28))</f>
        <v>15987.000000000002</v>
      </c>
      <c r="I39" s="52">
        <f>D39/('Other Factors'!$B$4*'Other Factors'!$B$5)</f>
        <v>199.89833333333331</v>
      </c>
      <c r="J39" s="52">
        <f>I39*'Other Factors'!$B$29/(SUM('Other Factors'!$B$29:$D$29))</f>
        <v>0</v>
      </c>
      <c r="K39" s="143">
        <f>I39*'Other Factors'!$C$29/(SUM('Other Factors'!$B$29:$D$29))</f>
        <v>0</v>
      </c>
      <c r="L39" s="144">
        <f>I39*'Other Factors'!$D$29/(SUM('Other Factors'!$B$29:$D$29))</f>
        <v>199.89833333333331</v>
      </c>
    </row>
    <row r="40" spans="1:15" x14ac:dyDescent="0.25">
      <c r="A40" s="12">
        <v>2051</v>
      </c>
      <c r="B40" s="52">
        <f t="shared" si="0"/>
        <v>730000</v>
      </c>
      <c r="C40" s="52">
        <f>B40*('Other Factors'!$B$28+'Other Factors'!$C$28+'Other Factors'!$D$28)</f>
        <v>639479.99999999988</v>
      </c>
      <c r="D40" s="52">
        <f>B40*('Other Factors'!$B$29+'Other Factors'!$C$29+'Other Factors'!$D$29)</f>
        <v>90520</v>
      </c>
      <c r="E40" s="52">
        <f>(C40/'Other Factors'!$B$3)</f>
        <v>319739.99999999994</v>
      </c>
      <c r="F40" s="142">
        <f>E40*'Other Factors'!$B$28/(SUM('Other Factors'!$B$28:$D$28))</f>
        <v>223817.99999999997</v>
      </c>
      <c r="G40" s="142">
        <f>E40*'Other Factors'!$C$28/(SUM('Other Factors'!$B$28:$D$28))</f>
        <v>79934.999999999985</v>
      </c>
      <c r="H40" s="142">
        <f>E40*'Other Factors'!$D$28/(SUM('Other Factors'!$B$28:$D$28))</f>
        <v>15987.000000000002</v>
      </c>
      <c r="I40" s="52">
        <f>D40/('Other Factors'!$B$4*'Other Factors'!$B$5)</f>
        <v>199.89833333333331</v>
      </c>
      <c r="J40" s="52">
        <f>I40*'Other Factors'!$B$29/(SUM('Other Factors'!$B$29:$D$29))</f>
        <v>0</v>
      </c>
      <c r="K40" s="143">
        <f>I40*'Other Factors'!$C$29/(SUM('Other Factors'!$B$29:$D$29))</f>
        <v>0</v>
      </c>
      <c r="L40" s="144">
        <f>I40*'Other Factors'!$D$29/(SUM('Other Factors'!$B$29:$D$29))</f>
        <v>199.89833333333331</v>
      </c>
    </row>
    <row r="41" spans="1:15" x14ac:dyDescent="0.25">
      <c r="A41" s="330">
        <v>2052</v>
      </c>
      <c r="B41" s="331">
        <f>B40</f>
        <v>730000</v>
      </c>
      <c r="C41" s="331">
        <f>B41*('Other Factors'!$B$28+'Other Factors'!$C$28+'Other Factors'!$D$28)</f>
        <v>639479.99999999988</v>
      </c>
      <c r="D41" s="331">
        <f>B41*('Other Factors'!$B$29+'Other Factors'!$C$29+'Other Factors'!$D$29)</f>
        <v>90520</v>
      </c>
      <c r="E41" s="331">
        <f>(C41/'Other Factors'!$B$3)</f>
        <v>319739.99999999994</v>
      </c>
      <c r="F41" s="336">
        <f>E41*'Other Factors'!$B$28/(SUM('Other Factors'!$B$28:$D$28))</f>
        <v>223817.99999999997</v>
      </c>
      <c r="G41" s="336">
        <f>E41*'Other Factors'!$C$28/(SUM('Other Factors'!$B$28:$D$28))</f>
        <v>79934.999999999985</v>
      </c>
      <c r="H41" s="336">
        <f>E41*'Other Factors'!$D$28/(SUM('Other Factors'!$B$28:$D$28))</f>
        <v>15987.000000000002</v>
      </c>
      <c r="I41" s="331">
        <f>D41/('Other Factors'!$B$4*'Other Factors'!$B$5)</f>
        <v>199.89833333333331</v>
      </c>
      <c r="J41" s="331">
        <f>I41*'Other Factors'!$B$29/(SUM('Other Factors'!$B$29:$D$29))</f>
        <v>0</v>
      </c>
      <c r="K41" s="334">
        <f>I41*'Other Factors'!$C$29/(SUM('Other Factors'!$B$29:$D$29))</f>
        <v>0</v>
      </c>
      <c r="L41" s="335">
        <f>I41*'Other Factors'!$D$29/(SUM('Other Factors'!$B$29:$D$29))</f>
        <v>199.89833333333331</v>
      </c>
    </row>
    <row r="42" spans="1:15" ht="15.75" thickBot="1" x14ac:dyDescent="0.3">
      <c r="A42" s="413" t="s">
        <v>1</v>
      </c>
      <c r="B42" s="414">
        <f>SUM(B3:B41)</f>
        <v>17880000</v>
      </c>
      <c r="C42" s="414">
        <f t="shared" ref="C42:L42" si="1">SUM(C3:C41)</f>
        <v>15662879.999999998</v>
      </c>
      <c r="D42" s="414">
        <f t="shared" si="1"/>
        <v>2217120</v>
      </c>
      <c r="E42" s="414">
        <f t="shared" si="1"/>
        <v>7831439.9999999991</v>
      </c>
      <c r="F42" s="414">
        <f t="shared" si="1"/>
        <v>5482008</v>
      </c>
      <c r="G42" s="414">
        <f t="shared" si="1"/>
        <v>1957860</v>
      </c>
      <c r="H42" s="414">
        <f t="shared" si="1"/>
        <v>391572</v>
      </c>
      <c r="I42" s="414">
        <f t="shared" si="1"/>
        <v>4896.1400000000021</v>
      </c>
      <c r="J42" s="414">
        <f t="shared" si="1"/>
        <v>0</v>
      </c>
      <c r="K42" s="414">
        <f t="shared" si="1"/>
        <v>0</v>
      </c>
      <c r="L42" s="415">
        <f t="shared" si="1"/>
        <v>4896.1400000000021</v>
      </c>
    </row>
    <row r="43" spans="1:15" x14ac:dyDescent="0.25">
      <c r="M43" s="56"/>
      <c r="N43" s="56"/>
    </row>
    <row r="44" spans="1:15" ht="15.75" thickBot="1" x14ac:dyDescent="0.3">
      <c r="M44" s="56"/>
      <c r="N44" s="56"/>
    </row>
    <row r="45" spans="1:15" ht="18.75" x14ac:dyDescent="0.3">
      <c r="A45" s="141" t="s">
        <v>100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4"/>
      <c r="M45" s="58"/>
      <c r="N45" s="58"/>
    </row>
    <row r="46" spans="1:15" ht="60" x14ac:dyDescent="0.25">
      <c r="A46" s="300" t="s">
        <v>2</v>
      </c>
      <c r="B46" s="296" t="s">
        <v>131</v>
      </c>
      <c r="C46" s="296" t="s">
        <v>132</v>
      </c>
      <c r="D46" s="296" t="s">
        <v>133</v>
      </c>
      <c r="E46" s="296" t="s">
        <v>141</v>
      </c>
      <c r="F46" s="298" t="s">
        <v>142</v>
      </c>
      <c r="G46" s="296" t="s">
        <v>143</v>
      </c>
      <c r="H46" s="296" t="s">
        <v>144</v>
      </c>
      <c r="I46" s="296" t="s">
        <v>145</v>
      </c>
      <c r="J46" s="298" t="s">
        <v>146</v>
      </c>
      <c r="K46" s="296" t="s">
        <v>147</v>
      </c>
      <c r="L46" s="299" t="s">
        <v>148</v>
      </c>
      <c r="M46" s="57"/>
      <c r="N46" s="57"/>
      <c r="O46" s="57"/>
    </row>
    <row r="47" spans="1:15" x14ac:dyDescent="0.25">
      <c r="A47" s="13">
        <v>2014</v>
      </c>
      <c r="B47" s="52">
        <f t="shared" ref="B47:B85" si="2">B3</f>
        <v>0</v>
      </c>
      <c r="C47" s="52">
        <f>B47*('Other Factors'!$E$28+'Other Factors'!$F$28+'Other Factors'!$G$28)</f>
        <v>0</v>
      </c>
      <c r="D47" s="52">
        <f>B47*('Other Factors'!$E$29+'Other Factors'!$F$29+'Other Factors'!$G$29)</f>
        <v>0</v>
      </c>
      <c r="E47" s="52">
        <f>(C47/'Other Factors'!$B$3)</f>
        <v>0</v>
      </c>
      <c r="F47" s="52">
        <f>E47*'Other Factors'!$E$28/(SUM('Other Factors'!$E$28:$G$28))</f>
        <v>0</v>
      </c>
      <c r="G47" s="52">
        <f>E47*'Other Factors'!$F$28/(SUM('Other Factors'!$E$28:$G$28))</f>
        <v>0</v>
      </c>
      <c r="H47" s="52">
        <f>E47*'Other Factors'!$G$28/(SUM('Other Factors'!$E$28:$G$28))</f>
        <v>0</v>
      </c>
      <c r="I47" s="52">
        <f>D47/('Other Factors'!$B$4*'Other Factors'!$B$5)</f>
        <v>0</v>
      </c>
      <c r="J47" s="52">
        <f>I47*'Other Factors'!$E$29/(SUM('Other Factors'!$E$29:$G$29))</f>
        <v>0</v>
      </c>
      <c r="K47" s="143">
        <f>I47*'Other Factors'!$F$29/(SUM('Other Factors'!$E$29:$G$29))</f>
        <v>0</v>
      </c>
      <c r="L47" s="144">
        <f>I47*'Other Factors'!$G$29/(SUM('Other Factors'!$E$29:$G$29))</f>
        <v>0</v>
      </c>
      <c r="M47" s="57"/>
      <c r="N47" s="57"/>
      <c r="O47" s="57"/>
    </row>
    <row r="48" spans="1:15" x14ac:dyDescent="0.25">
      <c r="A48" s="12">
        <v>2015</v>
      </c>
      <c r="B48" s="52">
        <f t="shared" si="2"/>
        <v>0</v>
      </c>
      <c r="C48" s="52">
        <f>B48*('Other Factors'!$E$28+'Other Factors'!$F$28+'Other Factors'!$G$28)</f>
        <v>0</v>
      </c>
      <c r="D48" s="52">
        <f>B48*('Other Factors'!$E$29+'Other Factors'!$F$29+'Other Factors'!$G$29)</f>
        <v>0</v>
      </c>
      <c r="E48" s="52">
        <f>(C48/'Other Factors'!$B$3)</f>
        <v>0</v>
      </c>
      <c r="F48" s="52">
        <f>E48*'Other Factors'!$E$28/(SUM('Other Factors'!$E$28:$G$28))</f>
        <v>0</v>
      </c>
      <c r="G48" s="52">
        <f>E48*'Other Factors'!$F$28/(SUM('Other Factors'!$E$28:$G$28))</f>
        <v>0</v>
      </c>
      <c r="H48" s="52">
        <f>E48*'Other Factors'!$G$28/(SUM('Other Factors'!$E$28:$G$28))</f>
        <v>0</v>
      </c>
      <c r="I48" s="52">
        <f>D48/('Other Factors'!$B$4*'Other Factors'!$B$5)</f>
        <v>0</v>
      </c>
      <c r="J48" s="52">
        <f>I48*'Other Factors'!$E$29/(SUM('Other Factors'!$E$29:$G$29))</f>
        <v>0</v>
      </c>
      <c r="K48" s="143">
        <f>I48*'Other Factors'!$F$29/(SUM('Other Factors'!$E$29:$G$29))</f>
        <v>0</v>
      </c>
      <c r="L48" s="144">
        <f>I48*'Other Factors'!$G$29/(SUM('Other Factors'!$E$29:$G$29))</f>
        <v>0</v>
      </c>
      <c r="M48" s="57"/>
      <c r="N48" s="57"/>
      <c r="O48" s="57"/>
    </row>
    <row r="49" spans="1:15" x14ac:dyDescent="0.25">
      <c r="A49" s="13">
        <v>2016</v>
      </c>
      <c r="B49" s="52">
        <f t="shared" si="2"/>
        <v>0</v>
      </c>
      <c r="C49" s="52">
        <f>B49*('Other Factors'!$E$28+'Other Factors'!$F$28+'Other Factors'!$G$28)</f>
        <v>0</v>
      </c>
      <c r="D49" s="52">
        <f>B49*('Other Factors'!$E$29+'Other Factors'!$F$29+'Other Factors'!$G$29)</f>
        <v>0</v>
      </c>
      <c r="E49" s="52">
        <f>(C49/'Other Factors'!$B$3)</f>
        <v>0</v>
      </c>
      <c r="F49" s="52">
        <f>E49*'Other Factors'!$E$28/(SUM('Other Factors'!$E$28:$G$28))</f>
        <v>0</v>
      </c>
      <c r="G49" s="52">
        <f>E49*'Other Factors'!$F$28/(SUM('Other Factors'!$E$28:$G$28))</f>
        <v>0</v>
      </c>
      <c r="H49" s="52">
        <f>E49*'Other Factors'!$G$28/(SUM('Other Factors'!$E$28:$G$28))</f>
        <v>0</v>
      </c>
      <c r="I49" s="52">
        <f>D49/('Other Factors'!$B$4*'Other Factors'!$B$5)</f>
        <v>0</v>
      </c>
      <c r="J49" s="52">
        <f>I49*'Other Factors'!$E$29/(SUM('Other Factors'!$E$29:$G$29))</f>
        <v>0</v>
      </c>
      <c r="K49" s="143">
        <f>I49*'Other Factors'!$F$29/(SUM('Other Factors'!$E$29:$G$29))</f>
        <v>0</v>
      </c>
      <c r="L49" s="144">
        <f>I49*'Other Factors'!$G$29/(SUM('Other Factors'!$E$29:$G$29))</f>
        <v>0</v>
      </c>
      <c r="M49" s="57"/>
      <c r="N49" s="57"/>
      <c r="O49" s="57"/>
    </row>
    <row r="50" spans="1:15" x14ac:dyDescent="0.25">
      <c r="A50" s="13">
        <v>2017</v>
      </c>
      <c r="B50" s="52">
        <f t="shared" si="2"/>
        <v>0</v>
      </c>
      <c r="C50" s="52">
        <f>B50*('Other Factors'!$E$28+'Other Factors'!$F$28+'Other Factors'!$G$28)</f>
        <v>0</v>
      </c>
      <c r="D50" s="52">
        <f>B50*('Other Factors'!$E$29+'Other Factors'!$F$29+'Other Factors'!$G$29)</f>
        <v>0</v>
      </c>
      <c r="E50" s="52">
        <f>(C50/'Other Factors'!$B$3)</f>
        <v>0</v>
      </c>
      <c r="F50" s="52">
        <f>E50*'Other Factors'!$E$28/(SUM('Other Factors'!$E$28:$G$28))</f>
        <v>0</v>
      </c>
      <c r="G50" s="52">
        <f>E50*'Other Factors'!$F$28/(SUM('Other Factors'!$E$28:$G$28))</f>
        <v>0</v>
      </c>
      <c r="H50" s="52">
        <f>E50*'Other Factors'!$G$28/(SUM('Other Factors'!$E$28:$G$28))</f>
        <v>0</v>
      </c>
      <c r="I50" s="52">
        <f>D50/('Other Factors'!$B$4*'Other Factors'!$B$5)</f>
        <v>0</v>
      </c>
      <c r="J50" s="52">
        <f>I50*'Other Factors'!$E$29/(SUM('Other Factors'!$E$29:$G$29))</f>
        <v>0</v>
      </c>
      <c r="K50" s="143">
        <f>I50*'Other Factors'!$F$29/(SUM('Other Factors'!$E$29:$G$29))</f>
        <v>0</v>
      </c>
      <c r="L50" s="144">
        <f>I50*'Other Factors'!$G$29/(SUM('Other Factors'!$E$29:$G$29))</f>
        <v>0</v>
      </c>
      <c r="M50" s="57"/>
      <c r="N50" s="57"/>
      <c r="O50" s="57"/>
    </row>
    <row r="51" spans="1:15" x14ac:dyDescent="0.25">
      <c r="A51" s="13">
        <v>2018</v>
      </c>
      <c r="B51" s="52">
        <f t="shared" si="2"/>
        <v>0</v>
      </c>
      <c r="C51" s="52">
        <f>B51*('Other Factors'!$E$28+'Other Factors'!$F$28+'Other Factors'!$G$28)</f>
        <v>0</v>
      </c>
      <c r="D51" s="52">
        <f>B51*('Other Factors'!$E$29+'Other Factors'!$F$29+'Other Factors'!$G$29)</f>
        <v>0</v>
      </c>
      <c r="E51" s="52">
        <f>(C51/'Other Factors'!$B$3)</f>
        <v>0</v>
      </c>
      <c r="F51" s="52">
        <f>E51*'Other Factors'!$E$28/(SUM('Other Factors'!$E$28:$G$28))</f>
        <v>0</v>
      </c>
      <c r="G51" s="52">
        <f>E51*'Other Factors'!$F$28/(SUM('Other Factors'!$E$28:$G$28))</f>
        <v>0</v>
      </c>
      <c r="H51" s="52">
        <f>E51*'Other Factors'!$G$28/(SUM('Other Factors'!$E$28:$G$28))</f>
        <v>0</v>
      </c>
      <c r="I51" s="52">
        <f>D51/('Other Factors'!$B$4*'Other Factors'!$B$5)</f>
        <v>0</v>
      </c>
      <c r="J51" s="52">
        <f>I51*'Other Factors'!$E$29/(SUM('Other Factors'!$E$29:$G$29))</f>
        <v>0</v>
      </c>
      <c r="K51" s="143">
        <f>I51*'Other Factors'!$F$29/(SUM('Other Factors'!$E$29:$G$29))</f>
        <v>0</v>
      </c>
      <c r="L51" s="144">
        <f>I51*'Other Factors'!$G$29/(SUM('Other Factors'!$E$29:$G$29))</f>
        <v>0</v>
      </c>
      <c r="M51" s="57"/>
      <c r="N51" s="57"/>
      <c r="O51" s="57"/>
    </row>
    <row r="52" spans="1:15" x14ac:dyDescent="0.25">
      <c r="A52" s="12">
        <v>2019</v>
      </c>
      <c r="B52" s="52">
        <f t="shared" si="2"/>
        <v>0</v>
      </c>
      <c r="C52" s="52">
        <f>B52*('Other Factors'!$E$28+'Other Factors'!$F$28+'Other Factors'!$G$28)</f>
        <v>0</v>
      </c>
      <c r="D52" s="52">
        <f>B52*('Other Factors'!$E$29+'Other Factors'!$F$29+'Other Factors'!$G$29)</f>
        <v>0</v>
      </c>
      <c r="E52" s="52">
        <f>(C52/'Other Factors'!$B$3)</f>
        <v>0</v>
      </c>
      <c r="F52" s="52">
        <f>E52*'Other Factors'!$E$28/(SUM('Other Factors'!$E$28:$G$28))</f>
        <v>0</v>
      </c>
      <c r="G52" s="52">
        <f>E52*'Other Factors'!$F$28/(SUM('Other Factors'!$E$28:$G$28))</f>
        <v>0</v>
      </c>
      <c r="H52" s="52">
        <f>E52*'Other Factors'!$G$28/(SUM('Other Factors'!$E$28:$G$28))</f>
        <v>0</v>
      </c>
      <c r="I52" s="52">
        <f>D52/('Other Factors'!$B$4*'Other Factors'!$B$5)</f>
        <v>0</v>
      </c>
      <c r="J52" s="52">
        <f>I52*'Other Factors'!$E$29/(SUM('Other Factors'!$E$29:$G$29))</f>
        <v>0</v>
      </c>
      <c r="K52" s="143">
        <f>I52*'Other Factors'!$F$29/(SUM('Other Factors'!$E$29:$G$29))</f>
        <v>0</v>
      </c>
      <c r="L52" s="144">
        <f>I52*'Other Factors'!$G$29/(SUM('Other Factors'!$E$29:$G$29))</f>
        <v>0</v>
      </c>
      <c r="M52" s="57"/>
      <c r="N52" s="57"/>
      <c r="O52" s="57"/>
    </row>
    <row r="53" spans="1:15" x14ac:dyDescent="0.25">
      <c r="A53" s="12">
        <v>2020</v>
      </c>
      <c r="B53" s="52">
        <f t="shared" si="2"/>
        <v>0</v>
      </c>
      <c r="C53" s="52">
        <f>B53*('Other Factors'!$E$28+'Other Factors'!$F$28+'Other Factors'!$G$28)</f>
        <v>0</v>
      </c>
      <c r="D53" s="52">
        <f>B53*('Other Factors'!$E$29+'Other Factors'!$F$29+'Other Factors'!$G$29)</f>
        <v>0</v>
      </c>
      <c r="E53" s="52">
        <f>(C53/'Other Factors'!$B$3)</f>
        <v>0</v>
      </c>
      <c r="F53" s="52">
        <f>E53*'Other Factors'!$E$28/(SUM('Other Factors'!$E$28:$G$28))</f>
        <v>0</v>
      </c>
      <c r="G53" s="52">
        <f>E53*'Other Factors'!$F$28/(SUM('Other Factors'!$E$28:$G$28))</f>
        <v>0</v>
      </c>
      <c r="H53" s="52">
        <f>E53*'Other Factors'!$G$28/(SUM('Other Factors'!$E$28:$G$28))</f>
        <v>0</v>
      </c>
      <c r="I53" s="52">
        <f>D53/('Other Factors'!$B$4*'Other Factors'!$B$5)</f>
        <v>0</v>
      </c>
      <c r="J53" s="52">
        <f>I53*'Other Factors'!$E$29/(SUM('Other Factors'!$E$29:$G$29))</f>
        <v>0</v>
      </c>
      <c r="K53" s="143">
        <f>I53*'Other Factors'!$F$29/(SUM('Other Factors'!$E$29:$G$29))</f>
        <v>0</v>
      </c>
      <c r="L53" s="144">
        <f>I53*'Other Factors'!$G$29/(SUM('Other Factors'!$E$29:$G$29))</f>
        <v>0</v>
      </c>
      <c r="M53" s="57"/>
      <c r="N53" s="57"/>
      <c r="O53" s="57"/>
    </row>
    <row r="54" spans="1:15" x14ac:dyDescent="0.25">
      <c r="A54" s="13">
        <v>2021</v>
      </c>
      <c r="B54" s="52">
        <f t="shared" si="2"/>
        <v>0</v>
      </c>
      <c r="C54" s="52">
        <f>B54*('Other Factors'!$E$28+'Other Factors'!$F$28+'Other Factors'!$G$28)</f>
        <v>0</v>
      </c>
      <c r="D54" s="52">
        <f>B54*('Other Factors'!$E$29+'Other Factors'!$F$29+'Other Factors'!$G$29)</f>
        <v>0</v>
      </c>
      <c r="E54" s="52">
        <f>(C54/'Other Factors'!$B$3)</f>
        <v>0</v>
      </c>
      <c r="F54" s="52">
        <f>E54*'Other Factors'!$E$28/(SUM('Other Factors'!$E$28:$G$28))</f>
        <v>0</v>
      </c>
      <c r="G54" s="52">
        <f>E54*'Other Factors'!$F$28/(SUM('Other Factors'!$E$28:$G$28))</f>
        <v>0</v>
      </c>
      <c r="H54" s="52">
        <f>E54*'Other Factors'!$G$28/(SUM('Other Factors'!$E$28:$G$28))</f>
        <v>0</v>
      </c>
      <c r="I54" s="52">
        <f>D54/('Other Factors'!$B$4*'Other Factors'!$B$5)</f>
        <v>0</v>
      </c>
      <c r="J54" s="52">
        <f>I54*'Other Factors'!$E$29/(SUM('Other Factors'!$E$29:$G$29))</f>
        <v>0</v>
      </c>
      <c r="K54" s="143">
        <f>I54*'Other Factors'!$F$29/(SUM('Other Factors'!$E$29:$G$29))</f>
        <v>0</v>
      </c>
      <c r="L54" s="144">
        <f>I54*'Other Factors'!$G$29/(SUM('Other Factors'!$E$29:$G$29))</f>
        <v>0</v>
      </c>
      <c r="M54" s="57"/>
      <c r="N54" s="57"/>
      <c r="O54" s="57"/>
    </row>
    <row r="55" spans="1:15" x14ac:dyDescent="0.25">
      <c r="A55" s="12">
        <v>2022</v>
      </c>
      <c r="B55" s="52">
        <f t="shared" si="2"/>
        <v>0</v>
      </c>
      <c r="C55" s="52">
        <f>B55*('Other Factors'!$E$28+'Other Factors'!$F$28+'Other Factors'!$G$28)</f>
        <v>0</v>
      </c>
      <c r="D55" s="52">
        <f>B55*('Other Factors'!$E$29+'Other Factors'!$F$29+'Other Factors'!$G$29)</f>
        <v>0</v>
      </c>
      <c r="E55" s="52">
        <f>(C55/'Other Factors'!$B$3)</f>
        <v>0</v>
      </c>
      <c r="F55" s="52">
        <f>E55*'Other Factors'!$E$28/(SUM('Other Factors'!$E$28:$G$28))</f>
        <v>0</v>
      </c>
      <c r="G55" s="52">
        <f>E55*'Other Factors'!$F$28/(SUM('Other Factors'!$E$28:$G$28))</f>
        <v>0</v>
      </c>
      <c r="H55" s="52">
        <f>E55*'Other Factors'!$G$28/(SUM('Other Factors'!$E$28:$G$28))</f>
        <v>0</v>
      </c>
      <c r="I55" s="52">
        <f>D55/('Other Factors'!$B$4*'Other Factors'!$B$5)</f>
        <v>0</v>
      </c>
      <c r="J55" s="52">
        <f>I55*'Other Factors'!$E$29/(SUM('Other Factors'!$E$29:$G$29))</f>
        <v>0</v>
      </c>
      <c r="K55" s="143">
        <f>I55*'Other Factors'!$F$29/(SUM('Other Factors'!$E$29:$G$29))</f>
        <v>0</v>
      </c>
      <c r="L55" s="144">
        <f>I55*'Other Factors'!$G$29/(SUM('Other Factors'!$E$29:$G$29))</f>
        <v>0</v>
      </c>
      <c r="M55" s="57"/>
      <c r="N55" s="57"/>
      <c r="O55" s="57"/>
    </row>
    <row r="56" spans="1:15" x14ac:dyDescent="0.25">
      <c r="A56" s="12">
        <v>2023</v>
      </c>
      <c r="B56" s="52">
        <f t="shared" si="2"/>
        <v>50000</v>
      </c>
      <c r="C56" s="52">
        <f>B56*('Other Factors'!$E$28+'Other Factors'!$F$28+'Other Factors'!$G$28)</f>
        <v>42080.500000000007</v>
      </c>
      <c r="D56" s="52">
        <f>B56*('Other Factors'!$E$29+'Other Factors'!$F$29+'Other Factors'!$G$29)</f>
        <v>7919.5</v>
      </c>
      <c r="E56" s="52">
        <f>(C56/'Other Factors'!$B$3)</f>
        <v>21040.250000000004</v>
      </c>
      <c r="F56" s="81">
        <f>E56*'Other Factors'!$E$28/(SUM('Other Factors'!$E$28:$G$28))</f>
        <v>13030.500000000002</v>
      </c>
      <c r="G56" s="81">
        <f>E56*'Other Factors'!$F$28/(SUM('Other Factors'!$E$28:$G$28))</f>
        <v>4653.7500000000009</v>
      </c>
      <c r="H56" s="81">
        <f>E56*'Other Factors'!$G$28/(SUM('Other Factors'!$E$28:$G$28))</f>
        <v>3356</v>
      </c>
      <c r="I56" s="52">
        <f>D56/('Other Factors'!$B$4*'Other Factors'!$B$5)</f>
        <v>17.488895833333331</v>
      </c>
      <c r="J56" s="52">
        <f>I56*'Other Factors'!$E$29/(SUM('Other Factors'!$E$29:$G$29))</f>
        <v>10.156124999999998</v>
      </c>
      <c r="K56" s="143">
        <f>I56*'Other Factors'!$F$29/(SUM('Other Factors'!$E$29:$G$29))</f>
        <v>3.6271874999999989</v>
      </c>
      <c r="L56" s="144">
        <f>I56*'Other Factors'!$G$29/(SUM('Other Factors'!$E$29:$G$29))</f>
        <v>3.7055833333333328</v>
      </c>
      <c r="M56" s="57"/>
      <c r="N56" s="57"/>
      <c r="O56" s="57"/>
    </row>
    <row r="57" spans="1:15" x14ac:dyDescent="0.25">
      <c r="A57" s="12">
        <v>2024</v>
      </c>
      <c r="B57" s="52">
        <f t="shared" si="2"/>
        <v>100000</v>
      </c>
      <c r="C57" s="52">
        <f>B57*('Other Factors'!$E$28+'Other Factors'!$F$28+'Other Factors'!$G$28)</f>
        <v>84161.000000000015</v>
      </c>
      <c r="D57" s="52">
        <f>B57*('Other Factors'!$E$29+'Other Factors'!$F$29+'Other Factors'!$G$29)</f>
        <v>15839</v>
      </c>
      <c r="E57" s="52">
        <f>(C57/'Other Factors'!$B$3)</f>
        <v>42080.500000000007</v>
      </c>
      <c r="F57" s="81">
        <f>E57*'Other Factors'!$E$28/(SUM('Other Factors'!$E$28:$G$28))</f>
        <v>26061.000000000004</v>
      </c>
      <c r="G57" s="81">
        <f>E57*'Other Factors'!$F$28/(SUM('Other Factors'!$E$28:$G$28))</f>
        <v>9307.5000000000018</v>
      </c>
      <c r="H57" s="81">
        <f>E57*'Other Factors'!$G$28/(SUM('Other Factors'!$E$28:$G$28))</f>
        <v>6712</v>
      </c>
      <c r="I57" s="52">
        <f>D57/('Other Factors'!$B$4*'Other Factors'!$B$5)</f>
        <v>34.977791666666661</v>
      </c>
      <c r="J57" s="52">
        <f>I57*'Other Factors'!$E$29/(SUM('Other Factors'!$E$29:$G$29))</f>
        <v>20.312249999999995</v>
      </c>
      <c r="K57" s="143">
        <f>I57*'Other Factors'!$F$29/(SUM('Other Factors'!$E$29:$G$29))</f>
        <v>7.2543749999999978</v>
      </c>
      <c r="L57" s="144">
        <f>I57*'Other Factors'!$G$29/(SUM('Other Factors'!$E$29:$G$29))</f>
        <v>7.4111666666666656</v>
      </c>
      <c r="M57" s="57"/>
      <c r="N57" s="57"/>
      <c r="O57" s="57"/>
    </row>
    <row r="58" spans="1:15" x14ac:dyDescent="0.25">
      <c r="A58" s="12">
        <v>2025</v>
      </c>
      <c r="B58" s="52">
        <f t="shared" si="2"/>
        <v>150000</v>
      </c>
      <c r="C58" s="52">
        <f>B58*('Other Factors'!$E$28+'Other Factors'!$F$28+'Other Factors'!$G$28)</f>
        <v>126241.50000000001</v>
      </c>
      <c r="D58" s="52">
        <f>B58*('Other Factors'!$E$29+'Other Factors'!$F$29+'Other Factors'!$G$29)</f>
        <v>23758.5</v>
      </c>
      <c r="E58" s="52">
        <f>(C58/'Other Factors'!$B$3)</f>
        <v>63120.750000000007</v>
      </c>
      <c r="F58" s="81">
        <f>E58*'Other Factors'!$E$28/(SUM('Other Factors'!$E$28:$G$28))</f>
        <v>39091.5</v>
      </c>
      <c r="G58" s="81">
        <f>E58*'Other Factors'!$F$28/(SUM('Other Factors'!$E$28:$G$28))</f>
        <v>13961.25</v>
      </c>
      <c r="H58" s="81">
        <f>E58*'Other Factors'!$G$28/(SUM('Other Factors'!$E$28:$G$28))</f>
        <v>10068</v>
      </c>
      <c r="I58" s="52">
        <f>D58/('Other Factors'!$B$4*'Other Factors'!$B$5)</f>
        <v>52.466687499999992</v>
      </c>
      <c r="J58" s="52">
        <f>I58*'Other Factors'!$E$29/(SUM('Other Factors'!$E$29:$G$29))</f>
        <v>30.468374999999991</v>
      </c>
      <c r="K58" s="143">
        <f>I58*'Other Factors'!$F$29/(SUM('Other Factors'!$E$29:$G$29))</f>
        <v>10.881562499999998</v>
      </c>
      <c r="L58" s="144">
        <f>I58*'Other Factors'!$G$29/(SUM('Other Factors'!$E$29:$G$29))</f>
        <v>11.116749999999998</v>
      </c>
      <c r="M58" s="57"/>
      <c r="N58" s="57"/>
      <c r="O58" s="57"/>
    </row>
    <row r="59" spans="1:15" x14ac:dyDescent="0.25">
      <c r="A59" s="12">
        <v>2026</v>
      </c>
      <c r="B59" s="52">
        <f t="shared" si="2"/>
        <v>200000</v>
      </c>
      <c r="C59" s="52">
        <f>B59*('Other Factors'!$E$28+'Other Factors'!$F$28+'Other Factors'!$G$28)</f>
        <v>168322.00000000003</v>
      </c>
      <c r="D59" s="52">
        <f>B59*('Other Factors'!$E$29+'Other Factors'!$F$29+'Other Factors'!$G$29)</f>
        <v>31678</v>
      </c>
      <c r="E59" s="52">
        <f>(C59/'Other Factors'!$B$3)</f>
        <v>84161.000000000015</v>
      </c>
      <c r="F59" s="81">
        <f>E59*'Other Factors'!$E$28/(SUM('Other Factors'!$E$28:$G$28))</f>
        <v>52122.000000000007</v>
      </c>
      <c r="G59" s="81">
        <f>E59*'Other Factors'!$F$28/(SUM('Other Factors'!$E$28:$G$28))</f>
        <v>18615.000000000004</v>
      </c>
      <c r="H59" s="81">
        <f>E59*'Other Factors'!$G$28/(SUM('Other Factors'!$E$28:$G$28))</f>
        <v>13424</v>
      </c>
      <c r="I59" s="52">
        <f>D59/('Other Factors'!$B$4*'Other Factors'!$B$5)</f>
        <v>69.955583333333323</v>
      </c>
      <c r="J59" s="52">
        <f>I59*'Other Factors'!$E$29/(SUM('Other Factors'!$E$29:$G$29))</f>
        <v>40.624499999999991</v>
      </c>
      <c r="K59" s="143">
        <f>I59*'Other Factors'!$F$29/(SUM('Other Factors'!$E$29:$G$29))</f>
        <v>14.508749999999996</v>
      </c>
      <c r="L59" s="144">
        <f>I59*'Other Factors'!$G$29/(SUM('Other Factors'!$E$29:$G$29))</f>
        <v>14.822333333333331</v>
      </c>
      <c r="M59" s="57"/>
      <c r="N59" s="57"/>
      <c r="O59" s="57"/>
    </row>
    <row r="60" spans="1:15" x14ac:dyDescent="0.25">
      <c r="A60" s="12">
        <v>2027</v>
      </c>
      <c r="B60" s="52">
        <f t="shared" si="2"/>
        <v>250000</v>
      </c>
      <c r="C60" s="52">
        <f>B60*('Other Factors'!$E$28+'Other Factors'!$F$28+'Other Factors'!$G$28)</f>
        <v>210402.50000000003</v>
      </c>
      <c r="D60" s="52">
        <f>B60*('Other Factors'!$E$29+'Other Factors'!$F$29+'Other Factors'!$G$29)</f>
        <v>39597.5</v>
      </c>
      <c r="E60" s="52">
        <f>(C60/'Other Factors'!$B$3)</f>
        <v>105201.25000000001</v>
      </c>
      <c r="F60" s="81">
        <f>E60*'Other Factors'!$E$28/(SUM('Other Factors'!$E$28:$G$28))</f>
        <v>65152.5</v>
      </c>
      <c r="G60" s="81">
        <f>E60*'Other Factors'!$F$28/(SUM('Other Factors'!$E$28:$G$28))</f>
        <v>23268.75</v>
      </c>
      <c r="H60" s="81">
        <f>E60*'Other Factors'!$G$28/(SUM('Other Factors'!$E$28:$G$28))</f>
        <v>16780</v>
      </c>
      <c r="I60" s="52">
        <f>D60/('Other Factors'!$B$4*'Other Factors'!$B$5)</f>
        <v>87.444479166666653</v>
      </c>
      <c r="J60" s="52">
        <f>I60*'Other Factors'!$E$29/(SUM('Other Factors'!$E$29:$G$29))</f>
        <v>50.780624999999986</v>
      </c>
      <c r="K60" s="143">
        <f>I60*'Other Factors'!$F$29/(SUM('Other Factors'!$E$29:$G$29))</f>
        <v>18.135937499999994</v>
      </c>
      <c r="L60" s="144">
        <f>I60*'Other Factors'!$G$29/(SUM('Other Factors'!$E$29:$G$29))</f>
        <v>18.527916666666663</v>
      </c>
      <c r="M60" s="57"/>
      <c r="N60" s="57"/>
      <c r="O60" s="57"/>
    </row>
    <row r="61" spans="1:15" x14ac:dyDescent="0.25">
      <c r="A61" s="12">
        <v>2028</v>
      </c>
      <c r="B61" s="52">
        <f t="shared" si="2"/>
        <v>300000</v>
      </c>
      <c r="C61" s="52">
        <f>B61*('Other Factors'!$E$28+'Other Factors'!$F$28+'Other Factors'!$G$28)</f>
        <v>252483.00000000003</v>
      </c>
      <c r="D61" s="52">
        <f>B61*('Other Factors'!$E$29+'Other Factors'!$F$29+'Other Factors'!$G$29)</f>
        <v>47517</v>
      </c>
      <c r="E61" s="52">
        <f>(C61/'Other Factors'!$B$3)</f>
        <v>126241.50000000001</v>
      </c>
      <c r="F61" s="81">
        <f>E61*'Other Factors'!$E$28/(SUM('Other Factors'!$E$28:$G$28))</f>
        <v>78183</v>
      </c>
      <c r="G61" s="81">
        <f>E61*'Other Factors'!$F$28/(SUM('Other Factors'!$E$28:$G$28))</f>
        <v>27922.5</v>
      </c>
      <c r="H61" s="81">
        <f>E61*'Other Factors'!$G$28/(SUM('Other Factors'!$E$28:$G$28))</f>
        <v>20136</v>
      </c>
      <c r="I61" s="52">
        <f>D61/('Other Factors'!$B$4*'Other Factors'!$B$5)</f>
        <v>104.93337499999998</v>
      </c>
      <c r="J61" s="52">
        <f>I61*'Other Factors'!$E$29/(SUM('Other Factors'!$E$29:$G$29))</f>
        <v>60.936749999999982</v>
      </c>
      <c r="K61" s="143">
        <f>I61*'Other Factors'!$F$29/(SUM('Other Factors'!$E$29:$G$29))</f>
        <v>21.763124999999995</v>
      </c>
      <c r="L61" s="144">
        <f>I61*'Other Factors'!$G$29/(SUM('Other Factors'!$E$29:$G$29))</f>
        <v>22.233499999999996</v>
      </c>
      <c r="M61" s="57"/>
      <c r="N61" s="57"/>
      <c r="O61" s="57"/>
    </row>
    <row r="62" spans="1:15" x14ac:dyDescent="0.25">
      <c r="A62" s="12">
        <v>2029</v>
      </c>
      <c r="B62" s="52">
        <f t="shared" si="2"/>
        <v>400000</v>
      </c>
      <c r="C62" s="52">
        <f>B62*('Other Factors'!$E$28+'Other Factors'!$F$28+'Other Factors'!$G$28)</f>
        <v>336644.00000000006</v>
      </c>
      <c r="D62" s="52">
        <f>B62*('Other Factors'!$E$29+'Other Factors'!$F$29+'Other Factors'!$G$29)</f>
        <v>63356</v>
      </c>
      <c r="E62" s="52">
        <f>(C62/'Other Factors'!$B$3)</f>
        <v>168322.00000000003</v>
      </c>
      <c r="F62" s="81">
        <f>E62*'Other Factors'!$E$28/(SUM('Other Factors'!$E$28:$G$28))</f>
        <v>104244.00000000001</v>
      </c>
      <c r="G62" s="81">
        <f>E62*'Other Factors'!$F$28/(SUM('Other Factors'!$E$28:$G$28))</f>
        <v>37230.000000000007</v>
      </c>
      <c r="H62" s="81">
        <f>E62*'Other Factors'!$G$28/(SUM('Other Factors'!$E$28:$G$28))</f>
        <v>26848</v>
      </c>
      <c r="I62" s="52">
        <f>D62/('Other Factors'!$B$4*'Other Factors'!$B$5)</f>
        <v>139.91116666666665</v>
      </c>
      <c r="J62" s="52">
        <f>I62*'Other Factors'!$E$29/(SUM('Other Factors'!$E$29:$G$29))</f>
        <v>81.248999999999981</v>
      </c>
      <c r="K62" s="143">
        <f>I62*'Other Factors'!$F$29/(SUM('Other Factors'!$E$29:$G$29))</f>
        <v>29.017499999999991</v>
      </c>
      <c r="L62" s="144">
        <f>I62*'Other Factors'!$G$29/(SUM('Other Factors'!$E$29:$G$29))</f>
        <v>29.644666666666662</v>
      </c>
      <c r="M62" s="57"/>
      <c r="N62" s="57"/>
      <c r="O62" s="57"/>
    </row>
    <row r="63" spans="1:15" x14ac:dyDescent="0.25">
      <c r="A63" s="12">
        <v>2030</v>
      </c>
      <c r="B63" s="52">
        <f t="shared" si="2"/>
        <v>500000</v>
      </c>
      <c r="C63" s="52">
        <f>B63*('Other Factors'!$E$28+'Other Factors'!$F$28+'Other Factors'!$G$28)</f>
        <v>420805.00000000006</v>
      </c>
      <c r="D63" s="52">
        <f>B63*('Other Factors'!$E$29+'Other Factors'!$F$29+'Other Factors'!$G$29)</f>
        <v>79195</v>
      </c>
      <c r="E63" s="52">
        <f>(C63/'Other Factors'!$B$3)</f>
        <v>210402.50000000003</v>
      </c>
      <c r="F63" s="81">
        <f>E63*'Other Factors'!$E$28/(SUM('Other Factors'!$E$28:$G$28))</f>
        <v>130305</v>
      </c>
      <c r="G63" s="81">
        <f>E63*'Other Factors'!$F$28/(SUM('Other Factors'!$E$28:$G$28))</f>
        <v>46537.5</v>
      </c>
      <c r="H63" s="81">
        <f>E63*'Other Factors'!$G$28/(SUM('Other Factors'!$E$28:$G$28))</f>
        <v>33560</v>
      </c>
      <c r="I63" s="52">
        <f>D63/('Other Factors'!$B$4*'Other Factors'!$B$5)</f>
        <v>174.88895833333331</v>
      </c>
      <c r="J63" s="52">
        <f>I63*'Other Factors'!$E$29/(SUM('Other Factors'!$E$29:$G$29))</f>
        <v>101.56124999999997</v>
      </c>
      <c r="K63" s="143">
        <f>I63*'Other Factors'!$F$29/(SUM('Other Factors'!$E$29:$G$29))</f>
        <v>36.271874999999987</v>
      </c>
      <c r="L63" s="144">
        <f>I63*'Other Factors'!$G$29/(SUM('Other Factors'!$E$29:$G$29))</f>
        <v>37.055833333333325</v>
      </c>
      <c r="M63" s="57"/>
      <c r="N63" s="57"/>
      <c r="O63" s="57"/>
    </row>
    <row r="64" spans="1:15" x14ac:dyDescent="0.25">
      <c r="A64" s="12">
        <v>2031</v>
      </c>
      <c r="B64" s="52">
        <f t="shared" si="2"/>
        <v>600000</v>
      </c>
      <c r="C64" s="52">
        <f>B64*('Other Factors'!$E$28+'Other Factors'!$F$28+'Other Factors'!$G$28)</f>
        <v>504966.00000000006</v>
      </c>
      <c r="D64" s="52">
        <f>B64*('Other Factors'!$E$29+'Other Factors'!$F$29+'Other Factors'!$G$29)</f>
        <v>95034</v>
      </c>
      <c r="E64" s="52">
        <f>(C64/'Other Factors'!$B$3)</f>
        <v>252483.00000000003</v>
      </c>
      <c r="F64" s="81">
        <f>E64*'Other Factors'!$E$28/(SUM('Other Factors'!$E$28:$G$28))</f>
        <v>156366</v>
      </c>
      <c r="G64" s="81">
        <f>E64*'Other Factors'!$F$28/(SUM('Other Factors'!$E$28:$G$28))</f>
        <v>55845</v>
      </c>
      <c r="H64" s="81">
        <f>E64*'Other Factors'!$G$28/(SUM('Other Factors'!$E$28:$G$28))</f>
        <v>40272</v>
      </c>
      <c r="I64" s="52">
        <f>D64/('Other Factors'!$B$4*'Other Factors'!$B$5)</f>
        <v>209.86674999999997</v>
      </c>
      <c r="J64" s="52">
        <f>I64*'Other Factors'!$E$29/(SUM('Other Factors'!$E$29:$G$29))</f>
        <v>121.87349999999996</v>
      </c>
      <c r="K64" s="143">
        <f>I64*'Other Factors'!$F$29/(SUM('Other Factors'!$E$29:$G$29))</f>
        <v>43.52624999999999</v>
      </c>
      <c r="L64" s="144">
        <f>I64*'Other Factors'!$G$29/(SUM('Other Factors'!$E$29:$G$29))</f>
        <v>44.466999999999992</v>
      </c>
      <c r="M64" s="57"/>
      <c r="N64" s="57"/>
      <c r="O64" s="57"/>
    </row>
    <row r="65" spans="1:15" x14ac:dyDescent="0.25">
      <c r="A65" s="12">
        <v>2032</v>
      </c>
      <c r="B65" s="52">
        <f t="shared" si="2"/>
        <v>730000</v>
      </c>
      <c r="C65" s="52">
        <f>B65*('Other Factors'!$E$28+'Other Factors'!$F$28+'Other Factors'!$G$28)</f>
        <v>614375.30000000005</v>
      </c>
      <c r="D65" s="52">
        <f>B65*('Other Factors'!$E$29+'Other Factors'!$F$29+'Other Factors'!$G$29)</f>
        <v>115624.7</v>
      </c>
      <c r="E65" s="52">
        <f>(C65/'Other Factors'!$B$3)</f>
        <v>307187.65000000002</v>
      </c>
      <c r="F65" s="81">
        <f>E65*'Other Factors'!$E$28/(SUM('Other Factors'!$E$28:$G$28))</f>
        <v>190245.30000000002</v>
      </c>
      <c r="G65" s="81">
        <f>E65*'Other Factors'!$F$28/(SUM('Other Factors'!$E$28:$G$28))</f>
        <v>67944.75</v>
      </c>
      <c r="H65" s="81">
        <f>E65*'Other Factors'!$G$28/(SUM('Other Factors'!$E$28:$G$28))</f>
        <v>48997.599999999999</v>
      </c>
      <c r="I65" s="52">
        <f>D65/('Other Factors'!$B$4*'Other Factors'!$B$5)</f>
        <v>255.33787916666662</v>
      </c>
      <c r="J65" s="52">
        <f>I65*'Other Factors'!$E$29/(SUM('Other Factors'!$E$29:$G$29))</f>
        <v>148.27942499999997</v>
      </c>
      <c r="K65" s="143">
        <f>I65*'Other Factors'!$F$29/(SUM('Other Factors'!$E$29:$G$29))</f>
        <v>52.956937499999988</v>
      </c>
      <c r="L65" s="144">
        <f>I65*'Other Factors'!$G$29/(SUM('Other Factors'!$E$29:$G$29))</f>
        <v>54.101516666666662</v>
      </c>
      <c r="M65" s="57"/>
      <c r="N65" s="57"/>
      <c r="O65" s="57"/>
    </row>
    <row r="66" spans="1:15" x14ac:dyDescent="0.25">
      <c r="A66" s="12">
        <v>2033</v>
      </c>
      <c r="B66" s="52">
        <f t="shared" si="2"/>
        <v>730000</v>
      </c>
      <c r="C66" s="52">
        <f>B66*('Other Factors'!$E$28+'Other Factors'!$F$28+'Other Factors'!$G$28)</f>
        <v>614375.30000000005</v>
      </c>
      <c r="D66" s="52">
        <f>B66*('Other Factors'!$E$29+'Other Factors'!$F$29+'Other Factors'!$G$29)</f>
        <v>115624.7</v>
      </c>
      <c r="E66" s="52">
        <f>(C66/'Other Factors'!$B$3)</f>
        <v>307187.65000000002</v>
      </c>
      <c r="F66" s="81">
        <f>E66*'Other Factors'!$E$28/(SUM('Other Factors'!$E$28:$G$28))</f>
        <v>190245.30000000002</v>
      </c>
      <c r="G66" s="81">
        <f>E66*'Other Factors'!$F$28/(SUM('Other Factors'!$E$28:$G$28))</f>
        <v>67944.75</v>
      </c>
      <c r="H66" s="81">
        <f>E66*'Other Factors'!$G$28/(SUM('Other Factors'!$E$28:$G$28))</f>
        <v>48997.599999999999</v>
      </c>
      <c r="I66" s="52">
        <f>D66/('Other Factors'!$B$4*'Other Factors'!$B$5)</f>
        <v>255.33787916666662</v>
      </c>
      <c r="J66" s="52">
        <f>I66*'Other Factors'!$E$29/(SUM('Other Factors'!$E$29:$G$29))</f>
        <v>148.27942499999997</v>
      </c>
      <c r="K66" s="143">
        <f>I66*'Other Factors'!$F$29/(SUM('Other Factors'!$E$29:$G$29))</f>
        <v>52.956937499999988</v>
      </c>
      <c r="L66" s="144">
        <f>I66*'Other Factors'!$G$29/(SUM('Other Factors'!$E$29:$G$29))</f>
        <v>54.101516666666662</v>
      </c>
      <c r="M66" s="57"/>
      <c r="N66" s="57"/>
      <c r="O66" s="57"/>
    </row>
    <row r="67" spans="1:15" x14ac:dyDescent="0.25">
      <c r="A67" s="12">
        <v>2034</v>
      </c>
      <c r="B67" s="52">
        <f t="shared" si="2"/>
        <v>730000</v>
      </c>
      <c r="C67" s="52">
        <f>B67*('Other Factors'!$E$28+'Other Factors'!$F$28+'Other Factors'!$G$28)</f>
        <v>614375.30000000005</v>
      </c>
      <c r="D67" s="52">
        <f>B67*('Other Factors'!$E$29+'Other Factors'!$F$29+'Other Factors'!$G$29)</f>
        <v>115624.7</v>
      </c>
      <c r="E67" s="52">
        <f>(C67/'Other Factors'!$B$3)</f>
        <v>307187.65000000002</v>
      </c>
      <c r="F67" s="81">
        <f>E67*'Other Factors'!$E$28/(SUM('Other Factors'!$E$28:$G$28))</f>
        <v>190245.30000000002</v>
      </c>
      <c r="G67" s="81">
        <f>E67*'Other Factors'!$F$28/(SUM('Other Factors'!$E$28:$G$28))</f>
        <v>67944.75</v>
      </c>
      <c r="H67" s="81">
        <f>E67*'Other Factors'!$G$28/(SUM('Other Factors'!$E$28:$G$28))</f>
        <v>48997.599999999999</v>
      </c>
      <c r="I67" s="52">
        <f>D67/('Other Factors'!$B$4*'Other Factors'!$B$5)</f>
        <v>255.33787916666662</v>
      </c>
      <c r="J67" s="52">
        <f>I67*'Other Factors'!$E$29/(SUM('Other Factors'!$E$29:$G$29))</f>
        <v>148.27942499999997</v>
      </c>
      <c r="K67" s="143">
        <f>I67*'Other Factors'!$F$29/(SUM('Other Factors'!$E$29:$G$29))</f>
        <v>52.956937499999988</v>
      </c>
      <c r="L67" s="144">
        <f>I67*'Other Factors'!$G$29/(SUM('Other Factors'!$E$29:$G$29))</f>
        <v>54.101516666666662</v>
      </c>
      <c r="M67" s="57"/>
      <c r="N67" s="57"/>
      <c r="O67" s="57"/>
    </row>
    <row r="68" spans="1:15" x14ac:dyDescent="0.25">
      <c r="A68" s="12">
        <v>2035</v>
      </c>
      <c r="B68" s="52">
        <f t="shared" si="2"/>
        <v>730000</v>
      </c>
      <c r="C68" s="52">
        <f>B68*('Other Factors'!$E$28+'Other Factors'!$F$28+'Other Factors'!$G$28)</f>
        <v>614375.30000000005</v>
      </c>
      <c r="D68" s="52">
        <f>B68*('Other Factors'!$E$29+'Other Factors'!$F$29+'Other Factors'!$G$29)</f>
        <v>115624.7</v>
      </c>
      <c r="E68" s="52">
        <f>(C68/'Other Factors'!$B$3)</f>
        <v>307187.65000000002</v>
      </c>
      <c r="F68" s="81">
        <f>E68*'Other Factors'!$E$28/(SUM('Other Factors'!$E$28:$G$28))</f>
        <v>190245.30000000002</v>
      </c>
      <c r="G68" s="81">
        <f>E68*'Other Factors'!$F$28/(SUM('Other Factors'!$E$28:$G$28))</f>
        <v>67944.75</v>
      </c>
      <c r="H68" s="81">
        <f>E68*'Other Factors'!$G$28/(SUM('Other Factors'!$E$28:$G$28))</f>
        <v>48997.599999999999</v>
      </c>
      <c r="I68" s="52">
        <f>D68/('Other Factors'!$B$4*'Other Factors'!$B$5)</f>
        <v>255.33787916666662</v>
      </c>
      <c r="J68" s="52">
        <f>I68*'Other Factors'!$E$29/(SUM('Other Factors'!$E$29:$G$29))</f>
        <v>148.27942499999997</v>
      </c>
      <c r="K68" s="143">
        <f>I68*'Other Factors'!$F$29/(SUM('Other Factors'!$E$29:$G$29))</f>
        <v>52.956937499999988</v>
      </c>
      <c r="L68" s="144">
        <f>I68*'Other Factors'!$G$29/(SUM('Other Factors'!$E$29:$G$29))</f>
        <v>54.101516666666662</v>
      </c>
      <c r="M68" s="57"/>
      <c r="N68" s="57"/>
      <c r="O68" s="57"/>
    </row>
    <row r="69" spans="1:15" x14ac:dyDescent="0.25">
      <c r="A69" s="12">
        <v>2036</v>
      </c>
      <c r="B69" s="52">
        <f t="shared" si="2"/>
        <v>730000</v>
      </c>
      <c r="C69" s="52">
        <f>B69*('Other Factors'!$E$28+'Other Factors'!$F$28+'Other Factors'!$G$28)</f>
        <v>614375.30000000005</v>
      </c>
      <c r="D69" s="52">
        <f>B69*('Other Factors'!$E$29+'Other Factors'!$F$29+'Other Factors'!$G$29)</f>
        <v>115624.7</v>
      </c>
      <c r="E69" s="52">
        <f>(C69/'Other Factors'!$B$3)</f>
        <v>307187.65000000002</v>
      </c>
      <c r="F69" s="81">
        <f>E69*'Other Factors'!$E$28/(SUM('Other Factors'!$E$28:$G$28))</f>
        <v>190245.30000000002</v>
      </c>
      <c r="G69" s="81">
        <f>E69*'Other Factors'!$F$28/(SUM('Other Factors'!$E$28:$G$28))</f>
        <v>67944.75</v>
      </c>
      <c r="H69" s="81">
        <f>E69*'Other Factors'!$G$28/(SUM('Other Factors'!$E$28:$G$28))</f>
        <v>48997.599999999999</v>
      </c>
      <c r="I69" s="52">
        <f>D69/('Other Factors'!$B$4*'Other Factors'!$B$5)</f>
        <v>255.33787916666662</v>
      </c>
      <c r="J69" s="52">
        <f>I69*'Other Factors'!$E$29/(SUM('Other Factors'!$E$29:$G$29))</f>
        <v>148.27942499999997</v>
      </c>
      <c r="K69" s="143">
        <f>I69*'Other Factors'!$F$29/(SUM('Other Factors'!$E$29:$G$29))</f>
        <v>52.956937499999988</v>
      </c>
      <c r="L69" s="144">
        <f>I69*'Other Factors'!$G$29/(SUM('Other Factors'!$E$29:$G$29))</f>
        <v>54.101516666666662</v>
      </c>
      <c r="M69" s="57"/>
      <c r="N69" s="57"/>
      <c r="O69" s="57"/>
    </row>
    <row r="70" spans="1:15" x14ac:dyDescent="0.25">
      <c r="A70" s="12">
        <v>2037</v>
      </c>
      <c r="B70" s="52">
        <f t="shared" si="2"/>
        <v>730000</v>
      </c>
      <c r="C70" s="52">
        <f>B70*('Other Factors'!$E$28+'Other Factors'!$F$28+'Other Factors'!$G$28)</f>
        <v>614375.30000000005</v>
      </c>
      <c r="D70" s="52">
        <f>B70*('Other Factors'!$E$29+'Other Factors'!$F$29+'Other Factors'!$G$29)</f>
        <v>115624.7</v>
      </c>
      <c r="E70" s="52">
        <f>(C70/'Other Factors'!$B$3)</f>
        <v>307187.65000000002</v>
      </c>
      <c r="F70" s="81">
        <f>E70*'Other Factors'!$E$28/(SUM('Other Factors'!$E$28:$G$28))</f>
        <v>190245.30000000002</v>
      </c>
      <c r="G70" s="81">
        <f>E70*'Other Factors'!$F$28/(SUM('Other Factors'!$E$28:$G$28))</f>
        <v>67944.75</v>
      </c>
      <c r="H70" s="81">
        <f>E70*'Other Factors'!$G$28/(SUM('Other Factors'!$E$28:$G$28))</f>
        <v>48997.599999999999</v>
      </c>
      <c r="I70" s="52">
        <f>D70/('Other Factors'!$B$4*'Other Factors'!$B$5)</f>
        <v>255.33787916666662</v>
      </c>
      <c r="J70" s="52">
        <f>I70*'Other Factors'!$E$29/(SUM('Other Factors'!$E$29:$G$29))</f>
        <v>148.27942499999997</v>
      </c>
      <c r="K70" s="143">
        <f>I70*'Other Factors'!$F$29/(SUM('Other Factors'!$E$29:$G$29))</f>
        <v>52.956937499999988</v>
      </c>
      <c r="L70" s="144">
        <f>I70*'Other Factors'!$G$29/(SUM('Other Factors'!$E$29:$G$29))</f>
        <v>54.101516666666662</v>
      </c>
      <c r="M70" s="57"/>
      <c r="N70" s="57"/>
      <c r="O70" s="57"/>
    </row>
    <row r="71" spans="1:15" x14ac:dyDescent="0.25">
      <c r="A71" s="12">
        <v>2038</v>
      </c>
      <c r="B71" s="52">
        <f t="shared" si="2"/>
        <v>730000</v>
      </c>
      <c r="C71" s="52">
        <f>B71*('Other Factors'!$E$28+'Other Factors'!$F$28+'Other Factors'!$G$28)</f>
        <v>614375.30000000005</v>
      </c>
      <c r="D71" s="52">
        <f>B71*('Other Factors'!$E$29+'Other Factors'!$F$29+'Other Factors'!$G$29)</f>
        <v>115624.7</v>
      </c>
      <c r="E71" s="52">
        <f>(C71/'Other Factors'!$B$3)</f>
        <v>307187.65000000002</v>
      </c>
      <c r="F71" s="81">
        <f>E71*'Other Factors'!$E$28/(SUM('Other Factors'!$E$28:$G$28))</f>
        <v>190245.30000000002</v>
      </c>
      <c r="G71" s="81">
        <f>E71*'Other Factors'!$F$28/(SUM('Other Factors'!$E$28:$G$28))</f>
        <v>67944.75</v>
      </c>
      <c r="H71" s="81">
        <f>E71*'Other Factors'!$G$28/(SUM('Other Factors'!$E$28:$G$28))</f>
        <v>48997.599999999999</v>
      </c>
      <c r="I71" s="52">
        <f>D71/('Other Factors'!$B$4*'Other Factors'!$B$5)</f>
        <v>255.33787916666662</v>
      </c>
      <c r="J71" s="52">
        <f>I71*'Other Factors'!$E$29/(SUM('Other Factors'!$E$29:$G$29))</f>
        <v>148.27942499999997</v>
      </c>
      <c r="K71" s="143">
        <f>I71*'Other Factors'!$F$29/(SUM('Other Factors'!$E$29:$G$29))</f>
        <v>52.956937499999988</v>
      </c>
      <c r="L71" s="144">
        <f>I71*'Other Factors'!$G$29/(SUM('Other Factors'!$E$29:$G$29))</f>
        <v>54.101516666666662</v>
      </c>
      <c r="M71" s="57"/>
      <c r="N71" s="57"/>
      <c r="O71" s="57"/>
    </row>
    <row r="72" spans="1:15" x14ac:dyDescent="0.25">
      <c r="A72" s="12">
        <v>2039</v>
      </c>
      <c r="B72" s="52">
        <f t="shared" si="2"/>
        <v>730000</v>
      </c>
      <c r="C72" s="52">
        <f>B72*('Other Factors'!$E$28+'Other Factors'!$F$28+'Other Factors'!$G$28)</f>
        <v>614375.30000000005</v>
      </c>
      <c r="D72" s="52">
        <f>B72*('Other Factors'!$E$29+'Other Factors'!$F$29+'Other Factors'!$G$29)</f>
        <v>115624.7</v>
      </c>
      <c r="E72" s="52">
        <f>(C72/'Other Factors'!$B$3)</f>
        <v>307187.65000000002</v>
      </c>
      <c r="F72" s="81">
        <f>E72*'Other Factors'!$E$28/(SUM('Other Factors'!$E$28:$G$28))</f>
        <v>190245.30000000002</v>
      </c>
      <c r="G72" s="81">
        <f>E72*'Other Factors'!$F$28/(SUM('Other Factors'!$E$28:$G$28))</f>
        <v>67944.75</v>
      </c>
      <c r="H72" s="81">
        <f>E72*'Other Factors'!$G$28/(SUM('Other Factors'!$E$28:$G$28))</f>
        <v>48997.599999999999</v>
      </c>
      <c r="I72" s="52">
        <f>D72/('Other Factors'!$B$4*'Other Factors'!$B$5)</f>
        <v>255.33787916666662</v>
      </c>
      <c r="J72" s="52">
        <f>I72*'Other Factors'!$E$29/(SUM('Other Factors'!$E$29:$G$29))</f>
        <v>148.27942499999997</v>
      </c>
      <c r="K72" s="143">
        <f>I72*'Other Factors'!$F$29/(SUM('Other Factors'!$E$29:$G$29))</f>
        <v>52.956937499999988</v>
      </c>
      <c r="L72" s="144">
        <f>I72*'Other Factors'!$G$29/(SUM('Other Factors'!$E$29:$G$29))</f>
        <v>54.101516666666662</v>
      </c>
      <c r="M72" s="57"/>
      <c r="N72" s="57"/>
      <c r="O72" s="57"/>
    </row>
    <row r="73" spans="1:15" x14ac:dyDescent="0.25">
      <c r="A73" s="12">
        <v>2040</v>
      </c>
      <c r="B73" s="52">
        <f t="shared" si="2"/>
        <v>730000</v>
      </c>
      <c r="C73" s="52">
        <f>B73*('Other Factors'!$E$28+'Other Factors'!$F$28+'Other Factors'!$G$28)</f>
        <v>614375.30000000005</v>
      </c>
      <c r="D73" s="52">
        <f>B73*('Other Factors'!$E$29+'Other Factors'!$F$29+'Other Factors'!$G$29)</f>
        <v>115624.7</v>
      </c>
      <c r="E73" s="52">
        <f>(C73/'Other Factors'!$B$3)</f>
        <v>307187.65000000002</v>
      </c>
      <c r="F73" s="81">
        <f>E73*'Other Factors'!$E$28/(SUM('Other Factors'!$E$28:$G$28))</f>
        <v>190245.30000000002</v>
      </c>
      <c r="G73" s="81">
        <f>E73*'Other Factors'!$F$28/(SUM('Other Factors'!$E$28:$G$28))</f>
        <v>67944.75</v>
      </c>
      <c r="H73" s="81">
        <f>E73*'Other Factors'!$G$28/(SUM('Other Factors'!$E$28:$G$28))</f>
        <v>48997.599999999999</v>
      </c>
      <c r="I73" s="52">
        <f>D73/('Other Factors'!$B$4*'Other Factors'!$B$5)</f>
        <v>255.33787916666662</v>
      </c>
      <c r="J73" s="52">
        <f>I73*'Other Factors'!$E$29/(SUM('Other Factors'!$E$29:$G$29))</f>
        <v>148.27942499999997</v>
      </c>
      <c r="K73" s="143">
        <f>I73*'Other Factors'!$F$29/(SUM('Other Factors'!$E$29:$G$29))</f>
        <v>52.956937499999988</v>
      </c>
      <c r="L73" s="144">
        <f>I73*'Other Factors'!$G$29/(SUM('Other Factors'!$E$29:$G$29))</f>
        <v>54.101516666666662</v>
      </c>
      <c r="M73" s="57"/>
      <c r="N73" s="57"/>
      <c r="O73" s="57"/>
    </row>
    <row r="74" spans="1:15" x14ac:dyDescent="0.25">
      <c r="A74" s="12">
        <v>2041</v>
      </c>
      <c r="B74" s="52">
        <f t="shared" si="2"/>
        <v>730000</v>
      </c>
      <c r="C74" s="52">
        <f>B74*('Other Factors'!$E$28+'Other Factors'!$F$28+'Other Factors'!$G$28)</f>
        <v>614375.30000000005</v>
      </c>
      <c r="D74" s="52">
        <f>B74*('Other Factors'!$E$29+'Other Factors'!$F$29+'Other Factors'!$G$29)</f>
        <v>115624.7</v>
      </c>
      <c r="E74" s="52">
        <f>(C74/'Other Factors'!$B$3)</f>
        <v>307187.65000000002</v>
      </c>
      <c r="F74" s="81">
        <f>E74*'Other Factors'!$E$28/(SUM('Other Factors'!$E$28:$G$28))</f>
        <v>190245.30000000002</v>
      </c>
      <c r="G74" s="81">
        <f>E74*'Other Factors'!$F$28/(SUM('Other Factors'!$E$28:$G$28))</f>
        <v>67944.75</v>
      </c>
      <c r="H74" s="81">
        <f>E74*'Other Factors'!$G$28/(SUM('Other Factors'!$E$28:$G$28))</f>
        <v>48997.599999999999</v>
      </c>
      <c r="I74" s="52">
        <f>D74/('Other Factors'!$B$4*'Other Factors'!$B$5)</f>
        <v>255.33787916666662</v>
      </c>
      <c r="J74" s="52">
        <f>I74*'Other Factors'!$E$29/(SUM('Other Factors'!$E$29:$G$29))</f>
        <v>148.27942499999997</v>
      </c>
      <c r="K74" s="143">
        <f>I74*'Other Factors'!$F$29/(SUM('Other Factors'!$E$29:$G$29))</f>
        <v>52.956937499999988</v>
      </c>
      <c r="L74" s="144">
        <f>I74*'Other Factors'!$G$29/(SUM('Other Factors'!$E$29:$G$29))</f>
        <v>54.101516666666662</v>
      </c>
      <c r="M74" s="57"/>
      <c r="N74" s="57"/>
      <c r="O74" s="57"/>
    </row>
    <row r="75" spans="1:15" x14ac:dyDescent="0.25">
      <c r="A75" s="12">
        <v>2042</v>
      </c>
      <c r="B75" s="52">
        <f t="shared" si="2"/>
        <v>730000</v>
      </c>
      <c r="C75" s="52">
        <f>B75*('Other Factors'!$E$28+'Other Factors'!$F$28+'Other Factors'!$G$28)</f>
        <v>614375.30000000005</v>
      </c>
      <c r="D75" s="52">
        <f>B75*('Other Factors'!$E$29+'Other Factors'!$F$29+'Other Factors'!$G$29)</f>
        <v>115624.7</v>
      </c>
      <c r="E75" s="52">
        <f>(C75/'Other Factors'!$B$3)</f>
        <v>307187.65000000002</v>
      </c>
      <c r="F75" s="81">
        <f>E75*'Other Factors'!$E$28/(SUM('Other Factors'!$E$28:$G$28))</f>
        <v>190245.30000000002</v>
      </c>
      <c r="G75" s="81">
        <f>E75*'Other Factors'!$F$28/(SUM('Other Factors'!$E$28:$G$28))</f>
        <v>67944.75</v>
      </c>
      <c r="H75" s="81">
        <f>E75*'Other Factors'!$G$28/(SUM('Other Factors'!$E$28:$G$28))</f>
        <v>48997.599999999999</v>
      </c>
      <c r="I75" s="52">
        <f>D75/('Other Factors'!$B$4*'Other Factors'!$B$5)</f>
        <v>255.33787916666662</v>
      </c>
      <c r="J75" s="52">
        <f>I75*'Other Factors'!$E$29/(SUM('Other Factors'!$E$29:$G$29))</f>
        <v>148.27942499999997</v>
      </c>
      <c r="K75" s="143">
        <f>I75*'Other Factors'!$F$29/(SUM('Other Factors'!$E$29:$G$29))</f>
        <v>52.956937499999988</v>
      </c>
      <c r="L75" s="144">
        <f>I75*'Other Factors'!$G$29/(SUM('Other Factors'!$E$29:$G$29))</f>
        <v>54.101516666666662</v>
      </c>
      <c r="M75" s="57"/>
      <c r="N75" s="57"/>
      <c r="O75" s="57"/>
    </row>
    <row r="76" spans="1:15" x14ac:dyDescent="0.25">
      <c r="A76" s="12">
        <v>2043</v>
      </c>
      <c r="B76" s="52">
        <f t="shared" si="2"/>
        <v>730000</v>
      </c>
      <c r="C76" s="52">
        <f>B76*('Other Factors'!$E$28+'Other Factors'!$F$28+'Other Factors'!$G$28)</f>
        <v>614375.30000000005</v>
      </c>
      <c r="D76" s="52">
        <f>B76*('Other Factors'!$E$29+'Other Factors'!$F$29+'Other Factors'!$G$29)</f>
        <v>115624.7</v>
      </c>
      <c r="E76" s="52">
        <f>(C76/'Other Factors'!$B$3)</f>
        <v>307187.65000000002</v>
      </c>
      <c r="F76" s="81">
        <f>E76*'Other Factors'!$E$28/(SUM('Other Factors'!$E$28:$G$28))</f>
        <v>190245.30000000002</v>
      </c>
      <c r="G76" s="81">
        <f>E76*'Other Factors'!$F$28/(SUM('Other Factors'!$E$28:$G$28))</f>
        <v>67944.75</v>
      </c>
      <c r="H76" s="81">
        <f>E76*'Other Factors'!$G$28/(SUM('Other Factors'!$E$28:$G$28))</f>
        <v>48997.599999999999</v>
      </c>
      <c r="I76" s="52">
        <f>D76/('Other Factors'!$B$4*'Other Factors'!$B$5)</f>
        <v>255.33787916666662</v>
      </c>
      <c r="J76" s="52">
        <f>I76*'Other Factors'!$E$29/(SUM('Other Factors'!$E$29:$G$29))</f>
        <v>148.27942499999997</v>
      </c>
      <c r="K76" s="143">
        <f>I76*'Other Factors'!$F$29/(SUM('Other Factors'!$E$29:$G$29))</f>
        <v>52.956937499999988</v>
      </c>
      <c r="L76" s="144">
        <f>I76*'Other Factors'!$G$29/(SUM('Other Factors'!$E$29:$G$29))</f>
        <v>54.101516666666662</v>
      </c>
      <c r="M76" s="57"/>
      <c r="N76" s="57"/>
      <c r="O76" s="57"/>
    </row>
    <row r="77" spans="1:15" x14ac:dyDescent="0.25">
      <c r="A77" s="12">
        <v>2044</v>
      </c>
      <c r="B77" s="52">
        <f t="shared" si="2"/>
        <v>730000</v>
      </c>
      <c r="C77" s="52">
        <f>B77*('Other Factors'!$E$28+'Other Factors'!$F$28+'Other Factors'!$G$28)</f>
        <v>614375.30000000005</v>
      </c>
      <c r="D77" s="52">
        <f>B77*('Other Factors'!$E$29+'Other Factors'!$F$29+'Other Factors'!$G$29)</f>
        <v>115624.7</v>
      </c>
      <c r="E77" s="52">
        <f>(C77/'Other Factors'!$B$3)</f>
        <v>307187.65000000002</v>
      </c>
      <c r="F77" s="81">
        <f>E77*'Other Factors'!$E$28/(SUM('Other Factors'!$E$28:$G$28))</f>
        <v>190245.30000000002</v>
      </c>
      <c r="G77" s="81">
        <f>E77*'Other Factors'!$F$28/(SUM('Other Factors'!$E$28:$G$28))</f>
        <v>67944.75</v>
      </c>
      <c r="H77" s="81">
        <f>E77*'Other Factors'!$G$28/(SUM('Other Factors'!$E$28:$G$28))</f>
        <v>48997.599999999999</v>
      </c>
      <c r="I77" s="52">
        <f>D77/('Other Factors'!$B$4*'Other Factors'!$B$5)</f>
        <v>255.33787916666662</v>
      </c>
      <c r="J77" s="52">
        <f>I77*'Other Factors'!$E$29/(SUM('Other Factors'!$E$29:$G$29))</f>
        <v>148.27942499999997</v>
      </c>
      <c r="K77" s="143">
        <f>I77*'Other Factors'!$F$29/(SUM('Other Factors'!$E$29:$G$29))</f>
        <v>52.956937499999988</v>
      </c>
      <c r="L77" s="144">
        <f>I77*'Other Factors'!$G$29/(SUM('Other Factors'!$E$29:$G$29))</f>
        <v>54.101516666666662</v>
      </c>
      <c r="M77" s="57"/>
      <c r="N77" s="57"/>
      <c r="O77" s="57"/>
    </row>
    <row r="78" spans="1:15" x14ac:dyDescent="0.25">
      <c r="A78" s="12">
        <v>2045</v>
      </c>
      <c r="B78" s="52">
        <f t="shared" si="2"/>
        <v>730000</v>
      </c>
      <c r="C78" s="52">
        <f>B78*('Other Factors'!$E$28+'Other Factors'!$F$28+'Other Factors'!$G$28)</f>
        <v>614375.30000000005</v>
      </c>
      <c r="D78" s="52">
        <f>B78*('Other Factors'!$E$29+'Other Factors'!$F$29+'Other Factors'!$G$29)</f>
        <v>115624.7</v>
      </c>
      <c r="E78" s="52">
        <f>(C78/'Other Factors'!$B$3)</f>
        <v>307187.65000000002</v>
      </c>
      <c r="F78" s="81">
        <f>E78*'Other Factors'!$E$28/(SUM('Other Factors'!$E$28:$G$28))</f>
        <v>190245.30000000002</v>
      </c>
      <c r="G78" s="81">
        <f>E78*'Other Factors'!$F$28/(SUM('Other Factors'!$E$28:$G$28))</f>
        <v>67944.75</v>
      </c>
      <c r="H78" s="81">
        <f>E78*'Other Factors'!$G$28/(SUM('Other Factors'!$E$28:$G$28))</f>
        <v>48997.599999999999</v>
      </c>
      <c r="I78" s="52">
        <f>D78/('Other Factors'!$B$4*'Other Factors'!$B$5)</f>
        <v>255.33787916666662</v>
      </c>
      <c r="J78" s="52">
        <f>I78*'Other Factors'!$E$29/(SUM('Other Factors'!$E$29:$G$29))</f>
        <v>148.27942499999997</v>
      </c>
      <c r="K78" s="143">
        <f>I78*'Other Factors'!$F$29/(SUM('Other Factors'!$E$29:$G$29))</f>
        <v>52.956937499999988</v>
      </c>
      <c r="L78" s="144">
        <f>I78*'Other Factors'!$G$29/(SUM('Other Factors'!$E$29:$G$29))</f>
        <v>54.101516666666662</v>
      </c>
      <c r="M78" s="57"/>
      <c r="N78" s="57"/>
      <c r="O78" s="57"/>
    </row>
    <row r="79" spans="1:15" x14ac:dyDescent="0.25">
      <c r="A79" s="12">
        <v>2046</v>
      </c>
      <c r="B79" s="52">
        <f t="shared" si="2"/>
        <v>730000</v>
      </c>
      <c r="C79" s="52">
        <f>B79*('Other Factors'!$E$28+'Other Factors'!$F$28+'Other Factors'!$G$28)</f>
        <v>614375.30000000005</v>
      </c>
      <c r="D79" s="52">
        <f>B79*('Other Factors'!$E$29+'Other Factors'!$F$29+'Other Factors'!$G$29)</f>
        <v>115624.7</v>
      </c>
      <c r="E79" s="52">
        <f>(C79/'Other Factors'!$B$3)</f>
        <v>307187.65000000002</v>
      </c>
      <c r="F79" s="81">
        <f>E79*'Other Factors'!$E$28/(SUM('Other Factors'!$E$28:$G$28))</f>
        <v>190245.30000000002</v>
      </c>
      <c r="G79" s="81">
        <f>E79*'Other Factors'!$F$28/(SUM('Other Factors'!$E$28:$G$28))</f>
        <v>67944.75</v>
      </c>
      <c r="H79" s="81">
        <f>E79*'Other Factors'!$G$28/(SUM('Other Factors'!$E$28:$G$28))</f>
        <v>48997.599999999999</v>
      </c>
      <c r="I79" s="52">
        <f>D79/('Other Factors'!$B$4*'Other Factors'!$B$5)</f>
        <v>255.33787916666662</v>
      </c>
      <c r="J79" s="52">
        <f>I79*'Other Factors'!$E$29/(SUM('Other Factors'!$E$29:$G$29))</f>
        <v>148.27942499999997</v>
      </c>
      <c r="K79" s="143">
        <f>I79*'Other Factors'!$F$29/(SUM('Other Factors'!$E$29:$G$29))</f>
        <v>52.956937499999988</v>
      </c>
      <c r="L79" s="144">
        <f>I79*'Other Factors'!$G$29/(SUM('Other Factors'!$E$29:$G$29))</f>
        <v>54.101516666666662</v>
      </c>
      <c r="M79" s="57"/>
      <c r="N79" s="57"/>
      <c r="O79" s="57"/>
    </row>
    <row r="80" spans="1:15" x14ac:dyDescent="0.25">
      <c r="A80" s="12">
        <v>2047</v>
      </c>
      <c r="B80" s="52">
        <f t="shared" si="2"/>
        <v>730000</v>
      </c>
      <c r="C80" s="52">
        <f>B80*('Other Factors'!$E$28+'Other Factors'!$F$28+'Other Factors'!$G$28)</f>
        <v>614375.30000000005</v>
      </c>
      <c r="D80" s="52">
        <f>B80*('Other Factors'!$E$29+'Other Factors'!$F$29+'Other Factors'!$G$29)</f>
        <v>115624.7</v>
      </c>
      <c r="E80" s="52">
        <f>(C80/'Other Factors'!$B$3)</f>
        <v>307187.65000000002</v>
      </c>
      <c r="F80" s="81">
        <f>E80*'Other Factors'!$E$28/(SUM('Other Factors'!$E$28:$G$28))</f>
        <v>190245.30000000002</v>
      </c>
      <c r="G80" s="81">
        <f>E80*'Other Factors'!$F$28/(SUM('Other Factors'!$E$28:$G$28))</f>
        <v>67944.75</v>
      </c>
      <c r="H80" s="81">
        <f>E80*'Other Factors'!$G$28/(SUM('Other Factors'!$E$28:$G$28))</f>
        <v>48997.599999999999</v>
      </c>
      <c r="I80" s="52">
        <f>D80/('Other Factors'!$B$4*'Other Factors'!$B$5)</f>
        <v>255.33787916666662</v>
      </c>
      <c r="J80" s="52">
        <f>I80*'Other Factors'!$E$29/(SUM('Other Factors'!$E$29:$G$29))</f>
        <v>148.27942499999997</v>
      </c>
      <c r="K80" s="143">
        <f>I80*'Other Factors'!$F$29/(SUM('Other Factors'!$E$29:$G$29))</f>
        <v>52.956937499999988</v>
      </c>
      <c r="L80" s="144">
        <f>I80*'Other Factors'!$G$29/(SUM('Other Factors'!$E$29:$G$29))</f>
        <v>54.101516666666662</v>
      </c>
      <c r="M80" s="56"/>
      <c r="N80" s="56"/>
    </row>
    <row r="81" spans="1:14" x14ac:dyDescent="0.25">
      <c r="A81" s="12">
        <v>2048</v>
      </c>
      <c r="B81" s="52">
        <f t="shared" si="2"/>
        <v>730000</v>
      </c>
      <c r="C81" s="52">
        <f>B81*('Other Factors'!$E$28+'Other Factors'!$F$28+'Other Factors'!$G$28)</f>
        <v>614375.30000000005</v>
      </c>
      <c r="D81" s="52">
        <f>B81*('Other Factors'!$E$29+'Other Factors'!$F$29+'Other Factors'!$G$29)</f>
        <v>115624.7</v>
      </c>
      <c r="E81" s="52">
        <f>(C81/'Other Factors'!$B$3)</f>
        <v>307187.65000000002</v>
      </c>
      <c r="F81" s="81">
        <f>E81*'Other Factors'!$E$28/(SUM('Other Factors'!$E$28:$G$28))</f>
        <v>190245.30000000002</v>
      </c>
      <c r="G81" s="81">
        <f>E81*'Other Factors'!$F$28/(SUM('Other Factors'!$E$28:$G$28))</f>
        <v>67944.75</v>
      </c>
      <c r="H81" s="81">
        <f>E81*'Other Factors'!$G$28/(SUM('Other Factors'!$E$28:$G$28))</f>
        <v>48997.599999999999</v>
      </c>
      <c r="I81" s="52">
        <f>D81/('Other Factors'!$B$4*'Other Factors'!$B$5)</f>
        <v>255.33787916666662</v>
      </c>
      <c r="J81" s="52">
        <f>I81*'Other Factors'!$E$29/(SUM('Other Factors'!$E$29:$G$29))</f>
        <v>148.27942499999997</v>
      </c>
      <c r="K81" s="143">
        <f>I81*'Other Factors'!$F$29/(SUM('Other Factors'!$E$29:$G$29))</f>
        <v>52.956937499999988</v>
      </c>
      <c r="L81" s="144">
        <f>I81*'Other Factors'!$G$29/(SUM('Other Factors'!$E$29:$G$29))</f>
        <v>54.101516666666662</v>
      </c>
      <c r="M81" s="56"/>
      <c r="N81" s="56"/>
    </row>
    <row r="82" spans="1:14" x14ac:dyDescent="0.25">
      <c r="A82" s="12">
        <v>2049</v>
      </c>
      <c r="B82" s="52">
        <f t="shared" si="2"/>
        <v>730000</v>
      </c>
      <c r="C82" s="52">
        <f>B82*('Other Factors'!$E$28+'Other Factors'!$F$28+'Other Factors'!$G$28)</f>
        <v>614375.30000000005</v>
      </c>
      <c r="D82" s="52">
        <f>B82*('Other Factors'!$E$29+'Other Factors'!$F$29+'Other Factors'!$G$29)</f>
        <v>115624.7</v>
      </c>
      <c r="E82" s="52">
        <f>(C82/'Other Factors'!$B$3)</f>
        <v>307187.65000000002</v>
      </c>
      <c r="F82" s="81">
        <f>E82*'Other Factors'!$E$28/(SUM('Other Factors'!$E$28:$G$28))</f>
        <v>190245.30000000002</v>
      </c>
      <c r="G82" s="81">
        <f>E82*'Other Factors'!$F$28/(SUM('Other Factors'!$E$28:$G$28))</f>
        <v>67944.75</v>
      </c>
      <c r="H82" s="81">
        <f>E82*'Other Factors'!$G$28/(SUM('Other Factors'!$E$28:$G$28))</f>
        <v>48997.599999999999</v>
      </c>
      <c r="I82" s="52">
        <f>D82/('Other Factors'!$B$4*'Other Factors'!$B$5)</f>
        <v>255.33787916666662</v>
      </c>
      <c r="J82" s="52">
        <f>I82*'Other Factors'!$E$29/(SUM('Other Factors'!$E$29:$G$29))</f>
        <v>148.27942499999997</v>
      </c>
      <c r="K82" s="143">
        <f>I82*'Other Factors'!$F$29/(SUM('Other Factors'!$E$29:$G$29))</f>
        <v>52.956937499999988</v>
      </c>
      <c r="L82" s="144">
        <f>I82*'Other Factors'!$G$29/(SUM('Other Factors'!$E$29:$G$29))</f>
        <v>54.101516666666662</v>
      </c>
      <c r="M82" s="56"/>
      <c r="N82" s="56"/>
    </row>
    <row r="83" spans="1:14" x14ac:dyDescent="0.25">
      <c r="A83" s="12">
        <v>2050</v>
      </c>
      <c r="B83" s="52">
        <f t="shared" si="2"/>
        <v>730000</v>
      </c>
      <c r="C83" s="52">
        <f>B83*('Other Factors'!$E$28+'Other Factors'!$F$28+'Other Factors'!$G$28)</f>
        <v>614375.30000000005</v>
      </c>
      <c r="D83" s="52">
        <f>B83*('Other Factors'!$E$29+'Other Factors'!$F$29+'Other Factors'!$G$29)</f>
        <v>115624.7</v>
      </c>
      <c r="E83" s="52">
        <f>(C83/'Other Factors'!$B$3)</f>
        <v>307187.65000000002</v>
      </c>
      <c r="F83" s="81">
        <f>E83*'Other Factors'!$E$28/(SUM('Other Factors'!$E$28:$G$28))</f>
        <v>190245.30000000002</v>
      </c>
      <c r="G83" s="81">
        <f>E83*'Other Factors'!$F$28/(SUM('Other Factors'!$E$28:$G$28))</f>
        <v>67944.75</v>
      </c>
      <c r="H83" s="81">
        <f>E83*'Other Factors'!$G$28/(SUM('Other Factors'!$E$28:$G$28))</f>
        <v>48997.599999999999</v>
      </c>
      <c r="I83" s="52">
        <f>D83/('Other Factors'!$B$4*'Other Factors'!$B$5)</f>
        <v>255.33787916666662</v>
      </c>
      <c r="J83" s="52">
        <f>I83*'Other Factors'!$E$29/(SUM('Other Factors'!$E$29:$G$29))</f>
        <v>148.27942499999997</v>
      </c>
      <c r="K83" s="143">
        <f>I83*'Other Factors'!$F$29/(SUM('Other Factors'!$E$29:$G$29))</f>
        <v>52.956937499999988</v>
      </c>
      <c r="L83" s="144">
        <f>I83*'Other Factors'!$G$29/(SUM('Other Factors'!$E$29:$G$29))</f>
        <v>54.101516666666662</v>
      </c>
      <c r="M83" s="56"/>
      <c r="N83" s="56"/>
    </row>
    <row r="84" spans="1:14" x14ac:dyDescent="0.25">
      <c r="A84" s="12">
        <v>2051</v>
      </c>
      <c r="B84" s="52">
        <f t="shared" si="2"/>
        <v>730000</v>
      </c>
      <c r="C84" s="52">
        <f>B84*('Other Factors'!$E$28+'Other Factors'!$F$28+'Other Factors'!$G$28)</f>
        <v>614375.30000000005</v>
      </c>
      <c r="D84" s="52">
        <f>B84*('Other Factors'!$E$29+'Other Factors'!$F$29+'Other Factors'!$G$29)</f>
        <v>115624.7</v>
      </c>
      <c r="E84" s="52">
        <f>(C84/'Other Factors'!$B$3)</f>
        <v>307187.65000000002</v>
      </c>
      <c r="F84" s="81">
        <f>E84*'Other Factors'!$E$28/(SUM('Other Factors'!$E$28:$G$28))</f>
        <v>190245.30000000002</v>
      </c>
      <c r="G84" s="81">
        <f>E84*'Other Factors'!$F$28/(SUM('Other Factors'!$E$28:$G$28))</f>
        <v>67944.75</v>
      </c>
      <c r="H84" s="81">
        <f>E84*'Other Factors'!$G$28/(SUM('Other Factors'!$E$28:$G$28))</f>
        <v>48997.599999999999</v>
      </c>
      <c r="I84" s="52">
        <f>D84/('Other Factors'!$B$4*'Other Factors'!$B$5)</f>
        <v>255.33787916666662</v>
      </c>
      <c r="J84" s="52">
        <f>I84*'Other Factors'!$E$29/(SUM('Other Factors'!$E$29:$G$29))</f>
        <v>148.27942499999997</v>
      </c>
      <c r="K84" s="143">
        <f>I84*'Other Factors'!$F$29/(SUM('Other Factors'!$E$29:$G$29))</f>
        <v>52.956937499999988</v>
      </c>
      <c r="L84" s="144">
        <f>I84*'Other Factors'!$G$29/(SUM('Other Factors'!$E$29:$G$29))</f>
        <v>54.101516666666662</v>
      </c>
      <c r="M84" s="56"/>
      <c r="N84" s="56"/>
    </row>
    <row r="85" spans="1:14" x14ac:dyDescent="0.25">
      <c r="A85" s="330">
        <v>2052</v>
      </c>
      <c r="B85" s="331">
        <f t="shared" si="2"/>
        <v>730000</v>
      </c>
      <c r="C85" s="331">
        <f>B85*('Other Factors'!$E$28+'Other Factors'!$F$28+'Other Factors'!$G$28)</f>
        <v>614375.30000000005</v>
      </c>
      <c r="D85" s="331">
        <f>B85*('Other Factors'!$E$29+'Other Factors'!$F$29+'Other Factors'!$G$29)</f>
        <v>115624.7</v>
      </c>
      <c r="E85" s="331">
        <f>(C85/'Other Factors'!$B$3)</f>
        <v>307187.65000000002</v>
      </c>
      <c r="F85" s="333">
        <f>E85*'Other Factors'!$E$28/(SUM('Other Factors'!$E$28:$G$28))</f>
        <v>190245.30000000002</v>
      </c>
      <c r="G85" s="333">
        <f>E85*'Other Factors'!$F$28/(SUM('Other Factors'!$E$28:$G$28))</f>
        <v>67944.75</v>
      </c>
      <c r="H85" s="333">
        <f>E85*'Other Factors'!$G$28/(SUM('Other Factors'!$E$28:$G$28))</f>
        <v>48997.599999999999</v>
      </c>
      <c r="I85" s="331">
        <f>D85/('Other Factors'!$B$4*'Other Factors'!$B$5)</f>
        <v>255.33787916666662</v>
      </c>
      <c r="J85" s="331">
        <f>I85*'Other Factors'!$E$29/(SUM('Other Factors'!$E$29:$G$29))</f>
        <v>148.27942499999997</v>
      </c>
      <c r="K85" s="334">
        <f>I85*'Other Factors'!$F$29/(SUM('Other Factors'!$E$29:$G$29))</f>
        <v>52.956937499999988</v>
      </c>
      <c r="L85" s="335">
        <f>I85*'Other Factors'!$G$29/(SUM('Other Factors'!$E$29:$G$29))</f>
        <v>54.101516666666662</v>
      </c>
      <c r="M85" s="56"/>
      <c r="N85" s="56"/>
    </row>
    <row r="86" spans="1:14" ht="15.75" thickBot="1" x14ac:dyDescent="0.3">
      <c r="A86" s="413" t="s">
        <v>1</v>
      </c>
      <c r="B86" s="414">
        <f>SUM(B47:B85)</f>
        <v>17880000</v>
      </c>
      <c r="C86" s="414">
        <f t="shared" ref="C86:L86" si="3">SUM(C47:C85)</f>
        <v>15047986.800000006</v>
      </c>
      <c r="D86" s="414">
        <f t="shared" si="3"/>
        <v>2832013.2000000007</v>
      </c>
      <c r="E86" s="414">
        <f t="shared" si="3"/>
        <v>7523993.4000000032</v>
      </c>
      <c r="F86" s="414">
        <f t="shared" si="3"/>
        <v>4659706.799999998</v>
      </c>
      <c r="G86" s="414">
        <f t="shared" si="3"/>
        <v>1664181</v>
      </c>
      <c r="H86" s="414">
        <f t="shared" si="3"/>
        <v>1200105.6000000001</v>
      </c>
      <c r="I86" s="414">
        <f t="shared" si="3"/>
        <v>6254.0291499999958</v>
      </c>
      <c r="J86" s="414">
        <f t="shared" si="3"/>
        <v>3631.830300000001</v>
      </c>
      <c r="K86" s="414">
        <f t="shared" si="3"/>
        <v>1297.0822500000002</v>
      </c>
      <c r="L86" s="415">
        <f t="shared" si="3"/>
        <v>1325.1165999999992</v>
      </c>
      <c r="M86" s="56"/>
      <c r="N86" s="56"/>
    </row>
    <row r="88" spans="1:14" ht="15.75" thickBot="1" x14ac:dyDescent="0.3"/>
    <row r="89" spans="1:14" ht="18.75" x14ac:dyDescent="0.3">
      <c r="A89" s="141" t="s">
        <v>231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4"/>
    </row>
    <row r="90" spans="1:14" ht="57" customHeight="1" x14ac:dyDescent="0.25">
      <c r="A90" s="300" t="s">
        <v>2</v>
      </c>
      <c r="B90" s="296" t="s">
        <v>232</v>
      </c>
      <c r="C90" s="296" t="s">
        <v>132</v>
      </c>
      <c r="D90" s="296" t="s">
        <v>133</v>
      </c>
      <c r="E90" s="296" t="s">
        <v>234</v>
      </c>
      <c r="F90" s="298" t="s">
        <v>233</v>
      </c>
      <c r="G90" s="296" t="s">
        <v>235</v>
      </c>
      <c r="H90" s="296" t="s">
        <v>236</v>
      </c>
      <c r="I90" s="296" t="s">
        <v>237</v>
      </c>
      <c r="J90" s="298" t="s">
        <v>238</v>
      </c>
      <c r="K90" s="296" t="s">
        <v>239</v>
      </c>
      <c r="L90" s="299" t="s">
        <v>240</v>
      </c>
    </row>
    <row r="91" spans="1:14" ht="16.5" customHeight="1" x14ac:dyDescent="0.25">
      <c r="A91" s="13">
        <v>2014</v>
      </c>
      <c r="B91" s="52">
        <f t="shared" ref="B91:L91" si="4">B47-B3</f>
        <v>0</v>
      </c>
      <c r="C91" s="52">
        <f t="shared" si="4"/>
        <v>0</v>
      </c>
      <c r="D91" s="52">
        <f t="shared" si="4"/>
        <v>0</v>
      </c>
      <c r="E91" s="52">
        <f t="shared" si="4"/>
        <v>0</v>
      </c>
      <c r="F91" s="52">
        <f t="shared" si="4"/>
        <v>0</v>
      </c>
      <c r="G91" s="52">
        <f t="shared" si="4"/>
        <v>0</v>
      </c>
      <c r="H91" s="52">
        <f t="shared" si="4"/>
        <v>0</v>
      </c>
      <c r="I91" s="52">
        <f t="shared" si="4"/>
        <v>0</v>
      </c>
      <c r="J91" s="52">
        <f t="shared" si="4"/>
        <v>0</v>
      </c>
      <c r="K91" s="52">
        <f t="shared" si="4"/>
        <v>0</v>
      </c>
      <c r="L91" s="145">
        <f t="shared" si="4"/>
        <v>0</v>
      </c>
    </row>
    <row r="92" spans="1:14" x14ac:dyDescent="0.25">
      <c r="A92" s="12">
        <v>2015</v>
      </c>
      <c r="B92" s="52">
        <f t="shared" ref="B92:L92" si="5">B48-B4</f>
        <v>0</v>
      </c>
      <c r="C92" s="52">
        <f t="shared" si="5"/>
        <v>0</v>
      </c>
      <c r="D92" s="52">
        <f t="shared" si="5"/>
        <v>0</v>
      </c>
      <c r="E92" s="52">
        <f t="shared" si="5"/>
        <v>0</v>
      </c>
      <c r="F92" s="52">
        <f t="shared" si="5"/>
        <v>0</v>
      </c>
      <c r="G92" s="52">
        <f t="shared" si="5"/>
        <v>0</v>
      </c>
      <c r="H92" s="52">
        <f t="shared" si="5"/>
        <v>0</v>
      </c>
      <c r="I92" s="52">
        <f t="shared" si="5"/>
        <v>0</v>
      </c>
      <c r="J92" s="52">
        <f t="shared" si="5"/>
        <v>0</v>
      </c>
      <c r="K92" s="52">
        <f t="shared" si="5"/>
        <v>0</v>
      </c>
      <c r="L92" s="145">
        <f t="shared" si="5"/>
        <v>0</v>
      </c>
    </row>
    <row r="93" spans="1:14" x14ac:dyDescent="0.25">
      <c r="A93" s="13">
        <v>2016</v>
      </c>
      <c r="B93" s="52">
        <f t="shared" ref="B93:L93" si="6">B49-B5</f>
        <v>0</v>
      </c>
      <c r="C93" s="52">
        <f t="shared" si="6"/>
        <v>0</v>
      </c>
      <c r="D93" s="52">
        <f t="shared" si="6"/>
        <v>0</v>
      </c>
      <c r="E93" s="52">
        <f t="shared" si="6"/>
        <v>0</v>
      </c>
      <c r="F93" s="52">
        <f t="shared" si="6"/>
        <v>0</v>
      </c>
      <c r="G93" s="52">
        <f t="shared" si="6"/>
        <v>0</v>
      </c>
      <c r="H93" s="52">
        <f t="shared" si="6"/>
        <v>0</v>
      </c>
      <c r="I93" s="52">
        <f t="shared" si="6"/>
        <v>0</v>
      </c>
      <c r="J93" s="52">
        <f t="shared" si="6"/>
        <v>0</v>
      </c>
      <c r="K93" s="52">
        <f t="shared" si="6"/>
        <v>0</v>
      </c>
      <c r="L93" s="145">
        <f t="shared" si="6"/>
        <v>0</v>
      </c>
    </row>
    <row r="94" spans="1:14" x14ac:dyDescent="0.25">
      <c r="A94" s="13">
        <v>2017</v>
      </c>
      <c r="B94" s="52">
        <f t="shared" ref="B94:L94" si="7">B50-B6</f>
        <v>0</v>
      </c>
      <c r="C94" s="52">
        <f t="shared" si="7"/>
        <v>0</v>
      </c>
      <c r="D94" s="52">
        <f t="shared" si="7"/>
        <v>0</v>
      </c>
      <c r="E94" s="52">
        <f t="shared" si="7"/>
        <v>0</v>
      </c>
      <c r="F94" s="52">
        <f t="shared" si="7"/>
        <v>0</v>
      </c>
      <c r="G94" s="52">
        <f t="shared" si="7"/>
        <v>0</v>
      </c>
      <c r="H94" s="52">
        <f t="shared" si="7"/>
        <v>0</v>
      </c>
      <c r="I94" s="52">
        <f t="shared" si="7"/>
        <v>0</v>
      </c>
      <c r="J94" s="52">
        <f t="shared" si="7"/>
        <v>0</v>
      </c>
      <c r="K94" s="52">
        <f t="shared" si="7"/>
        <v>0</v>
      </c>
      <c r="L94" s="145">
        <f t="shared" si="7"/>
        <v>0</v>
      </c>
    </row>
    <row r="95" spans="1:14" x14ac:dyDescent="0.25">
      <c r="A95" s="13">
        <v>2018</v>
      </c>
      <c r="B95" s="52">
        <f t="shared" ref="B95:L95" si="8">B51-B7</f>
        <v>0</v>
      </c>
      <c r="C95" s="52">
        <f t="shared" si="8"/>
        <v>0</v>
      </c>
      <c r="D95" s="52">
        <f t="shared" si="8"/>
        <v>0</v>
      </c>
      <c r="E95" s="52">
        <f t="shared" si="8"/>
        <v>0</v>
      </c>
      <c r="F95" s="52">
        <f t="shared" si="8"/>
        <v>0</v>
      </c>
      <c r="G95" s="52">
        <f t="shared" si="8"/>
        <v>0</v>
      </c>
      <c r="H95" s="52">
        <f t="shared" si="8"/>
        <v>0</v>
      </c>
      <c r="I95" s="52">
        <f t="shared" si="8"/>
        <v>0</v>
      </c>
      <c r="J95" s="52">
        <f t="shared" si="8"/>
        <v>0</v>
      </c>
      <c r="K95" s="52">
        <f t="shared" si="8"/>
        <v>0</v>
      </c>
      <c r="L95" s="145">
        <f t="shared" si="8"/>
        <v>0</v>
      </c>
    </row>
    <row r="96" spans="1:14" x14ac:dyDescent="0.25">
      <c r="A96" s="12">
        <v>2019</v>
      </c>
      <c r="B96" s="52">
        <f t="shared" ref="B96:L96" si="9">B52-B8</f>
        <v>0</v>
      </c>
      <c r="C96" s="52">
        <f t="shared" si="9"/>
        <v>0</v>
      </c>
      <c r="D96" s="52">
        <f t="shared" si="9"/>
        <v>0</v>
      </c>
      <c r="E96" s="52">
        <f t="shared" si="9"/>
        <v>0</v>
      </c>
      <c r="F96" s="52">
        <f t="shared" si="9"/>
        <v>0</v>
      </c>
      <c r="G96" s="52">
        <f t="shared" si="9"/>
        <v>0</v>
      </c>
      <c r="H96" s="52">
        <f t="shared" si="9"/>
        <v>0</v>
      </c>
      <c r="I96" s="52">
        <f t="shared" si="9"/>
        <v>0</v>
      </c>
      <c r="J96" s="52">
        <f t="shared" si="9"/>
        <v>0</v>
      </c>
      <c r="K96" s="52">
        <f t="shared" si="9"/>
        <v>0</v>
      </c>
      <c r="L96" s="145">
        <f t="shared" si="9"/>
        <v>0</v>
      </c>
    </row>
    <row r="97" spans="1:12" x14ac:dyDescent="0.25">
      <c r="A97" s="12">
        <v>2020</v>
      </c>
      <c r="B97" s="52">
        <f t="shared" ref="B97:L97" si="10">B53-B9</f>
        <v>0</v>
      </c>
      <c r="C97" s="52">
        <f t="shared" si="10"/>
        <v>0</v>
      </c>
      <c r="D97" s="52">
        <f t="shared" si="10"/>
        <v>0</v>
      </c>
      <c r="E97" s="52">
        <f t="shared" si="10"/>
        <v>0</v>
      </c>
      <c r="F97" s="52">
        <f t="shared" si="10"/>
        <v>0</v>
      </c>
      <c r="G97" s="52">
        <f t="shared" si="10"/>
        <v>0</v>
      </c>
      <c r="H97" s="52">
        <f t="shared" si="10"/>
        <v>0</v>
      </c>
      <c r="I97" s="52">
        <f t="shared" si="10"/>
        <v>0</v>
      </c>
      <c r="J97" s="52">
        <f t="shared" si="10"/>
        <v>0</v>
      </c>
      <c r="K97" s="52">
        <f t="shared" si="10"/>
        <v>0</v>
      </c>
      <c r="L97" s="145">
        <f t="shared" si="10"/>
        <v>0</v>
      </c>
    </row>
    <row r="98" spans="1:12" x14ac:dyDescent="0.25">
      <c r="A98" s="13">
        <v>2021</v>
      </c>
      <c r="B98" s="52">
        <f t="shared" ref="B98:L98" si="11">B54-B10</f>
        <v>0</v>
      </c>
      <c r="C98" s="52">
        <f t="shared" si="11"/>
        <v>0</v>
      </c>
      <c r="D98" s="52">
        <f t="shared" si="11"/>
        <v>0</v>
      </c>
      <c r="E98" s="52">
        <f t="shared" si="11"/>
        <v>0</v>
      </c>
      <c r="F98" s="52">
        <f t="shared" si="11"/>
        <v>0</v>
      </c>
      <c r="G98" s="52">
        <f t="shared" si="11"/>
        <v>0</v>
      </c>
      <c r="H98" s="52">
        <f t="shared" si="11"/>
        <v>0</v>
      </c>
      <c r="I98" s="52">
        <f t="shared" si="11"/>
        <v>0</v>
      </c>
      <c r="J98" s="52">
        <f t="shared" si="11"/>
        <v>0</v>
      </c>
      <c r="K98" s="52">
        <f t="shared" si="11"/>
        <v>0</v>
      </c>
      <c r="L98" s="145">
        <f t="shared" si="11"/>
        <v>0</v>
      </c>
    </row>
    <row r="99" spans="1:12" x14ac:dyDescent="0.25">
      <c r="A99" s="12">
        <v>2022</v>
      </c>
      <c r="B99" s="52">
        <f t="shared" ref="B99:L99" si="12">B55-B11</f>
        <v>0</v>
      </c>
      <c r="C99" s="52">
        <f t="shared" si="12"/>
        <v>0</v>
      </c>
      <c r="D99" s="52">
        <f t="shared" si="12"/>
        <v>0</v>
      </c>
      <c r="E99" s="52">
        <f t="shared" si="12"/>
        <v>0</v>
      </c>
      <c r="F99" s="52">
        <f t="shared" si="12"/>
        <v>0</v>
      </c>
      <c r="G99" s="52">
        <f t="shared" si="12"/>
        <v>0</v>
      </c>
      <c r="H99" s="52">
        <f t="shared" si="12"/>
        <v>0</v>
      </c>
      <c r="I99" s="52">
        <f t="shared" si="12"/>
        <v>0</v>
      </c>
      <c r="J99" s="52">
        <f t="shared" si="12"/>
        <v>0</v>
      </c>
      <c r="K99" s="52">
        <f t="shared" si="12"/>
        <v>0</v>
      </c>
      <c r="L99" s="145">
        <f t="shared" si="12"/>
        <v>0</v>
      </c>
    </row>
    <row r="100" spans="1:12" x14ac:dyDescent="0.25">
      <c r="A100" s="12">
        <v>2023</v>
      </c>
      <c r="B100" s="52">
        <f t="shared" ref="B100:L100" si="13">B56-B12</f>
        <v>0</v>
      </c>
      <c r="C100" s="52">
        <f t="shared" si="13"/>
        <v>-1719.4999999999854</v>
      </c>
      <c r="D100" s="52">
        <f t="shared" si="13"/>
        <v>1719.5</v>
      </c>
      <c r="E100" s="52">
        <f t="shared" si="13"/>
        <v>-859.74999999999272</v>
      </c>
      <c r="F100" s="52">
        <f t="shared" si="13"/>
        <v>-2299.4999999999964</v>
      </c>
      <c r="G100" s="52">
        <f t="shared" si="13"/>
        <v>-821.24999999999909</v>
      </c>
      <c r="H100" s="52">
        <f t="shared" si="13"/>
        <v>2261</v>
      </c>
      <c r="I100" s="52">
        <f t="shared" si="13"/>
        <v>3.797229166666666</v>
      </c>
      <c r="J100" s="52">
        <f t="shared" si="13"/>
        <v>10.156124999999998</v>
      </c>
      <c r="K100" s="52">
        <f t="shared" si="13"/>
        <v>3.6271874999999989</v>
      </c>
      <c r="L100" s="145">
        <f t="shared" si="13"/>
        <v>-9.9860833333333314</v>
      </c>
    </row>
    <row r="101" spans="1:12" x14ac:dyDescent="0.25">
      <c r="A101" s="12">
        <v>2024</v>
      </c>
      <c r="B101" s="52">
        <f t="shared" ref="B101:L101" si="14">B57-B13</f>
        <v>0</v>
      </c>
      <c r="C101" s="52">
        <f t="shared" si="14"/>
        <v>-3438.9999999999709</v>
      </c>
      <c r="D101" s="52">
        <f t="shared" si="14"/>
        <v>3439</v>
      </c>
      <c r="E101" s="52">
        <f t="shared" si="14"/>
        <v>-1719.4999999999854</v>
      </c>
      <c r="F101" s="52">
        <f t="shared" si="14"/>
        <v>-4598.9999999999927</v>
      </c>
      <c r="G101" s="52">
        <f t="shared" si="14"/>
        <v>-1642.4999999999982</v>
      </c>
      <c r="H101" s="52">
        <f t="shared" si="14"/>
        <v>4522</v>
      </c>
      <c r="I101" s="52">
        <f t="shared" si="14"/>
        <v>7.594458333333332</v>
      </c>
      <c r="J101" s="52">
        <f t="shared" si="14"/>
        <v>20.312249999999995</v>
      </c>
      <c r="K101" s="52">
        <f t="shared" si="14"/>
        <v>7.2543749999999978</v>
      </c>
      <c r="L101" s="145">
        <f t="shared" si="14"/>
        <v>-19.972166666666663</v>
      </c>
    </row>
    <row r="102" spans="1:12" x14ac:dyDescent="0.25">
      <c r="A102" s="12">
        <v>2025</v>
      </c>
      <c r="B102" s="52">
        <f t="shared" ref="B102:L102" si="15">B58-B14</f>
        <v>0</v>
      </c>
      <c r="C102" s="52">
        <f t="shared" si="15"/>
        <v>-5158.4999999999563</v>
      </c>
      <c r="D102" s="52">
        <f t="shared" si="15"/>
        <v>5158.5</v>
      </c>
      <c r="E102" s="52">
        <f t="shared" si="15"/>
        <v>-2579.2499999999782</v>
      </c>
      <c r="F102" s="52">
        <f t="shared" si="15"/>
        <v>-6898.4999999999927</v>
      </c>
      <c r="G102" s="52">
        <f t="shared" si="15"/>
        <v>-2463.75</v>
      </c>
      <c r="H102" s="52">
        <f t="shared" si="15"/>
        <v>6783</v>
      </c>
      <c r="I102" s="52">
        <f t="shared" si="15"/>
        <v>11.391687499999996</v>
      </c>
      <c r="J102" s="52">
        <f t="shared" si="15"/>
        <v>30.468374999999991</v>
      </c>
      <c r="K102" s="52">
        <f t="shared" si="15"/>
        <v>10.881562499999998</v>
      </c>
      <c r="L102" s="145">
        <f t="shared" si="15"/>
        <v>-29.95825</v>
      </c>
    </row>
    <row r="103" spans="1:12" x14ac:dyDescent="0.25">
      <c r="A103" s="12">
        <v>2026</v>
      </c>
      <c r="B103" s="52">
        <f t="shared" ref="B103:L103" si="16">B59-B15</f>
        <v>0</v>
      </c>
      <c r="C103" s="52">
        <f t="shared" si="16"/>
        <v>-6877.9999999999418</v>
      </c>
      <c r="D103" s="52">
        <f t="shared" si="16"/>
        <v>6878</v>
      </c>
      <c r="E103" s="52">
        <f t="shared" si="16"/>
        <v>-3438.9999999999709</v>
      </c>
      <c r="F103" s="52">
        <f t="shared" si="16"/>
        <v>-9197.9999999999854</v>
      </c>
      <c r="G103" s="52">
        <f t="shared" si="16"/>
        <v>-3284.9999999999964</v>
      </c>
      <c r="H103" s="52">
        <f t="shared" si="16"/>
        <v>9044</v>
      </c>
      <c r="I103" s="52">
        <f t="shared" si="16"/>
        <v>15.188916666666664</v>
      </c>
      <c r="J103" s="52">
        <f t="shared" si="16"/>
        <v>40.624499999999991</v>
      </c>
      <c r="K103" s="52">
        <f t="shared" si="16"/>
        <v>14.508749999999996</v>
      </c>
      <c r="L103" s="145">
        <f t="shared" si="16"/>
        <v>-39.944333333333326</v>
      </c>
    </row>
    <row r="104" spans="1:12" x14ac:dyDescent="0.25">
      <c r="A104" s="12">
        <v>2027</v>
      </c>
      <c r="B104" s="52">
        <f t="shared" ref="B104:L104" si="17">B60-B16</f>
        <v>0</v>
      </c>
      <c r="C104" s="52">
        <f t="shared" si="17"/>
        <v>-8597.4999999999418</v>
      </c>
      <c r="D104" s="52">
        <f t="shared" si="17"/>
        <v>8597.5</v>
      </c>
      <c r="E104" s="52">
        <f t="shared" si="17"/>
        <v>-4298.7499999999709</v>
      </c>
      <c r="F104" s="52">
        <f t="shared" si="17"/>
        <v>-11497.5</v>
      </c>
      <c r="G104" s="52">
        <f t="shared" si="17"/>
        <v>-4106.25</v>
      </c>
      <c r="H104" s="52">
        <f t="shared" si="17"/>
        <v>11305</v>
      </c>
      <c r="I104" s="52">
        <f t="shared" si="17"/>
        <v>18.986145833333325</v>
      </c>
      <c r="J104" s="52">
        <f t="shared" si="17"/>
        <v>50.780624999999986</v>
      </c>
      <c r="K104" s="52">
        <f t="shared" si="17"/>
        <v>18.135937499999994</v>
      </c>
      <c r="L104" s="145">
        <f t="shared" si="17"/>
        <v>-49.930416666666666</v>
      </c>
    </row>
    <row r="105" spans="1:12" x14ac:dyDescent="0.25">
      <c r="A105" s="12">
        <v>2028</v>
      </c>
      <c r="B105" s="52">
        <f t="shared" ref="B105:L105" si="18">B61-B17</f>
        <v>0</v>
      </c>
      <c r="C105" s="52">
        <f t="shared" si="18"/>
        <v>-10316.999999999913</v>
      </c>
      <c r="D105" s="52">
        <f t="shared" si="18"/>
        <v>10317</v>
      </c>
      <c r="E105" s="52">
        <f t="shared" si="18"/>
        <v>-5158.4999999999563</v>
      </c>
      <c r="F105" s="52">
        <f t="shared" si="18"/>
        <v>-13796.999999999985</v>
      </c>
      <c r="G105" s="52">
        <f t="shared" si="18"/>
        <v>-4927.5</v>
      </c>
      <c r="H105" s="52">
        <f t="shared" si="18"/>
        <v>13566</v>
      </c>
      <c r="I105" s="52">
        <f t="shared" si="18"/>
        <v>22.783374999999992</v>
      </c>
      <c r="J105" s="52">
        <f t="shared" si="18"/>
        <v>60.936749999999982</v>
      </c>
      <c r="K105" s="52">
        <f t="shared" si="18"/>
        <v>21.763124999999995</v>
      </c>
      <c r="L105" s="145">
        <f t="shared" si="18"/>
        <v>-59.916499999999999</v>
      </c>
    </row>
    <row r="106" spans="1:12" x14ac:dyDescent="0.25">
      <c r="A106" s="12">
        <v>2029</v>
      </c>
      <c r="B106" s="52">
        <f t="shared" ref="B106:L106" si="19">B62-B18</f>
        <v>0</v>
      </c>
      <c r="C106" s="52">
        <f t="shared" si="19"/>
        <v>-13755.999999999884</v>
      </c>
      <c r="D106" s="52">
        <f t="shared" si="19"/>
        <v>13756</v>
      </c>
      <c r="E106" s="52">
        <f t="shared" si="19"/>
        <v>-6877.9999999999418</v>
      </c>
      <c r="F106" s="52">
        <f t="shared" si="19"/>
        <v>-18395.999999999971</v>
      </c>
      <c r="G106" s="52">
        <f t="shared" si="19"/>
        <v>-6569.9999999999927</v>
      </c>
      <c r="H106" s="52">
        <f t="shared" si="19"/>
        <v>18088</v>
      </c>
      <c r="I106" s="52">
        <f t="shared" si="19"/>
        <v>30.377833333333328</v>
      </c>
      <c r="J106" s="52">
        <f t="shared" si="19"/>
        <v>81.248999999999981</v>
      </c>
      <c r="K106" s="52">
        <f t="shared" si="19"/>
        <v>29.017499999999991</v>
      </c>
      <c r="L106" s="145">
        <f t="shared" si="19"/>
        <v>-79.888666666666651</v>
      </c>
    </row>
    <row r="107" spans="1:12" x14ac:dyDescent="0.25">
      <c r="A107" s="12">
        <v>2030</v>
      </c>
      <c r="B107" s="52">
        <f t="shared" ref="B107:L107" si="20">B63-B19</f>
        <v>0</v>
      </c>
      <c r="C107" s="52">
        <f t="shared" si="20"/>
        <v>-17194.999999999884</v>
      </c>
      <c r="D107" s="52">
        <f t="shared" si="20"/>
        <v>17195</v>
      </c>
      <c r="E107" s="52">
        <f t="shared" si="20"/>
        <v>-8597.4999999999418</v>
      </c>
      <c r="F107" s="52">
        <f t="shared" si="20"/>
        <v>-22995</v>
      </c>
      <c r="G107" s="52">
        <f t="shared" si="20"/>
        <v>-8212.5</v>
      </c>
      <c r="H107" s="52">
        <f t="shared" si="20"/>
        <v>22610</v>
      </c>
      <c r="I107" s="52">
        <f t="shared" si="20"/>
        <v>37.972291666666649</v>
      </c>
      <c r="J107" s="52">
        <f t="shared" si="20"/>
        <v>101.56124999999997</v>
      </c>
      <c r="K107" s="52">
        <f t="shared" si="20"/>
        <v>36.271874999999987</v>
      </c>
      <c r="L107" s="145">
        <f t="shared" si="20"/>
        <v>-99.860833333333332</v>
      </c>
    </row>
    <row r="108" spans="1:12" x14ac:dyDescent="0.25">
      <c r="A108" s="12">
        <v>2031</v>
      </c>
      <c r="B108" s="52">
        <f t="shared" ref="B108:L108" si="21">B64-B20</f>
        <v>0</v>
      </c>
      <c r="C108" s="52">
        <f t="shared" si="21"/>
        <v>-20633.999999999825</v>
      </c>
      <c r="D108" s="52">
        <f t="shared" si="21"/>
        <v>20634</v>
      </c>
      <c r="E108" s="52">
        <f t="shared" si="21"/>
        <v>-10316.999999999913</v>
      </c>
      <c r="F108" s="52">
        <f t="shared" si="21"/>
        <v>-27593.999999999971</v>
      </c>
      <c r="G108" s="52">
        <f t="shared" si="21"/>
        <v>-9855</v>
      </c>
      <c r="H108" s="52">
        <f t="shared" si="21"/>
        <v>27132</v>
      </c>
      <c r="I108" s="52">
        <f t="shared" si="21"/>
        <v>45.566749999999985</v>
      </c>
      <c r="J108" s="52">
        <f t="shared" si="21"/>
        <v>121.87349999999996</v>
      </c>
      <c r="K108" s="52">
        <f t="shared" si="21"/>
        <v>43.52624999999999</v>
      </c>
      <c r="L108" s="145">
        <f t="shared" si="21"/>
        <v>-119.833</v>
      </c>
    </row>
    <row r="109" spans="1:12" x14ac:dyDescent="0.25">
      <c r="A109" s="12">
        <v>2032</v>
      </c>
      <c r="B109" s="52">
        <f t="shared" ref="B109:L109" si="22">B65-B21</f>
        <v>0</v>
      </c>
      <c r="C109" s="52">
        <f t="shared" si="22"/>
        <v>-25104.699999999837</v>
      </c>
      <c r="D109" s="52">
        <f t="shared" si="22"/>
        <v>25104.699999999997</v>
      </c>
      <c r="E109" s="52">
        <f t="shared" si="22"/>
        <v>-12552.349999999919</v>
      </c>
      <c r="F109" s="52">
        <f t="shared" si="22"/>
        <v>-33572.699999999953</v>
      </c>
      <c r="G109" s="52">
        <f t="shared" si="22"/>
        <v>-11990.249999999985</v>
      </c>
      <c r="H109" s="52">
        <f t="shared" si="22"/>
        <v>33010.6</v>
      </c>
      <c r="I109" s="52">
        <f t="shared" si="22"/>
        <v>55.439545833333312</v>
      </c>
      <c r="J109" s="52">
        <f t="shared" si="22"/>
        <v>148.27942499999997</v>
      </c>
      <c r="K109" s="52">
        <f t="shared" si="22"/>
        <v>52.956937499999988</v>
      </c>
      <c r="L109" s="145">
        <f t="shared" si="22"/>
        <v>-145.79681666666664</v>
      </c>
    </row>
    <row r="110" spans="1:12" x14ac:dyDescent="0.25">
      <c r="A110" s="12">
        <v>2033</v>
      </c>
      <c r="B110" s="52">
        <f t="shared" ref="B110:L110" si="23">B66-B22</f>
        <v>0</v>
      </c>
      <c r="C110" s="52">
        <f t="shared" si="23"/>
        <v>-25104.699999999837</v>
      </c>
      <c r="D110" s="52">
        <f t="shared" si="23"/>
        <v>25104.699999999997</v>
      </c>
      <c r="E110" s="52">
        <f t="shared" si="23"/>
        <v>-12552.349999999919</v>
      </c>
      <c r="F110" s="52">
        <f t="shared" si="23"/>
        <v>-33572.699999999953</v>
      </c>
      <c r="G110" s="52">
        <f t="shared" si="23"/>
        <v>-11990.249999999985</v>
      </c>
      <c r="H110" s="52">
        <f t="shared" si="23"/>
        <v>33010.6</v>
      </c>
      <c r="I110" s="52">
        <f t="shared" si="23"/>
        <v>55.439545833333312</v>
      </c>
      <c r="J110" s="52">
        <f t="shared" si="23"/>
        <v>148.27942499999997</v>
      </c>
      <c r="K110" s="52">
        <f t="shared" si="23"/>
        <v>52.956937499999988</v>
      </c>
      <c r="L110" s="145">
        <f t="shared" si="23"/>
        <v>-145.79681666666664</v>
      </c>
    </row>
    <row r="111" spans="1:12" x14ac:dyDescent="0.25">
      <c r="A111" s="12">
        <v>2034</v>
      </c>
      <c r="B111" s="52">
        <f t="shared" ref="B111:L111" si="24">B67-B23</f>
        <v>0</v>
      </c>
      <c r="C111" s="52">
        <f t="shared" si="24"/>
        <v>-25104.699999999837</v>
      </c>
      <c r="D111" s="52">
        <f t="shared" si="24"/>
        <v>25104.699999999997</v>
      </c>
      <c r="E111" s="52">
        <f t="shared" si="24"/>
        <v>-12552.349999999919</v>
      </c>
      <c r="F111" s="52">
        <f t="shared" si="24"/>
        <v>-33572.699999999953</v>
      </c>
      <c r="G111" s="52">
        <f t="shared" si="24"/>
        <v>-11990.249999999985</v>
      </c>
      <c r="H111" s="52">
        <f t="shared" si="24"/>
        <v>33010.6</v>
      </c>
      <c r="I111" s="52">
        <f t="shared" si="24"/>
        <v>55.439545833333312</v>
      </c>
      <c r="J111" s="52">
        <f t="shared" si="24"/>
        <v>148.27942499999997</v>
      </c>
      <c r="K111" s="52">
        <f t="shared" si="24"/>
        <v>52.956937499999988</v>
      </c>
      <c r="L111" s="145">
        <f t="shared" si="24"/>
        <v>-145.79681666666664</v>
      </c>
    </row>
    <row r="112" spans="1:12" x14ac:dyDescent="0.25">
      <c r="A112" s="12">
        <v>2035</v>
      </c>
      <c r="B112" s="52">
        <f t="shared" ref="B112:L112" si="25">B68-B24</f>
        <v>0</v>
      </c>
      <c r="C112" s="52">
        <f t="shared" si="25"/>
        <v>-25104.699999999837</v>
      </c>
      <c r="D112" s="52">
        <f t="shared" si="25"/>
        <v>25104.699999999997</v>
      </c>
      <c r="E112" s="52">
        <f t="shared" si="25"/>
        <v>-12552.349999999919</v>
      </c>
      <c r="F112" s="52">
        <f t="shared" si="25"/>
        <v>-33572.699999999953</v>
      </c>
      <c r="G112" s="52">
        <f t="shared" si="25"/>
        <v>-11990.249999999985</v>
      </c>
      <c r="H112" s="52">
        <f t="shared" si="25"/>
        <v>33010.6</v>
      </c>
      <c r="I112" s="52">
        <f t="shared" si="25"/>
        <v>55.439545833333312</v>
      </c>
      <c r="J112" s="52">
        <f t="shared" si="25"/>
        <v>148.27942499999997</v>
      </c>
      <c r="K112" s="52">
        <f t="shared" si="25"/>
        <v>52.956937499999988</v>
      </c>
      <c r="L112" s="145">
        <f t="shared" si="25"/>
        <v>-145.79681666666664</v>
      </c>
    </row>
    <row r="113" spans="1:12" x14ac:dyDescent="0.25">
      <c r="A113" s="12">
        <v>2036</v>
      </c>
      <c r="B113" s="52">
        <f t="shared" ref="B113:L113" si="26">B69-B25</f>
        <v>0</v>
      </c>
      <c r="C113" s="52">
        <f t="shared" si="26"/>
        <v>-25104.699999999837</v>
      </c>
      <c r="D113" s="52">
        <f t="shared" si="26"/>
        <v>25104.699999999997</v>
      </c>
      <c r="E113" s="52">
        <f t="shared" si="26"/>
        <v>-12552.349999999919</v>
      </c>
      <c r="F113" s="52">
        <f t="shared" si="26"/>
        <v>-33572.699999999953</v>
      </c>
      <c r="G113" s="52">
        <f t="shared" si="26"/>
        <v>-11990.249999999985</v>
      </c>
      <c r="H113" s="52">
        <f t="shared" si="26"/>
        <v>33010.6</v>
      </c>
      <c r="I113" s="52">
        <f t="shared" si="26"/>
        <v>55.439545833333312</v>
      </c>
      <c r="J113" s="52">
        <f t="shared" si="26"/>
        <v>148.27942499999997</v>
      </c>
      <c r="K113" s="52">
        <f t="shared" si="26"/>
        <v>52.956937499999988</v>
      </c>
      <c r="L113" s="145">
        <f t="shared" si="26"/>
        <v>-145.79681666666664</v>
      </c>
    </row>
    <row r="114" spans="1:12" x14ac:dyDescent="0.25">
      <c r="A114" s="12">
        <v>2037</v>
      </c>
      <c r="B114" s="52">
        <f t="shared" ref="B114:L114" si="27">B70-B26</f>
        <v>0</v>
      </c>
      <c r="C114" s="52">
        <f t="shared" si="27"/>
        <v>-25104.699999999837</v>
      </c>
      <c r="D114" s="52">
        <f t="shared" si="27"/>
        <v>25104.699999999997</v>
      </c>
      <c r="E114" s="52">
        <f t="shared" si="27"/>
        <v>-12552.349999999919</v>
      </c>
      <c r="F114" s="52">
        <f t="shared" si="27"/>
        <v>-33572.699999999953</v>
      </c>
      <c r="G114" s="52">
        <f t="shared" si="27"/>
        <v>-11990.249999999985</v>
      </c>
      <c r="H114" s="52">
        <f t="shared" si="27"/>
        <v>33010.6</v>
      </c>
      <c r="I114" s="52">
        <f t="shared" si="27"/>
        <v>55.439545833333312</v>
      </c>
      <c r="J114" s="52">
        <f t="shared" si="27"/>
        <v>148.27942499999997</v>
      </c>
      <c r="K114" s="52">
        <f t="shared" si="27"/>
        <v>52.956937499999988</v>
      </c>
      <c r="L114" s="145">
        <f t="shared" si="27"/>
        <v>-145.79681666666664</v>
      </c>
    </row>
    <row r="115" spans="1:12" x14ac:dyDescent="0.25">
      <c r="A115" s="12">
        <v>2038</v>
      </c>
      <c r="B115" s="52">
        <f t="shared" ref="B115:L115" si="28">B71-B27</f>
        <v>0</v>
      </c>
      <c r="C115" s="52">
        <f t="shared" si="28"/>
        <v>-25104.699999999837</v>
      </c>
      <c r="D115" s="52">
        <f t="shared" si="28"/>
        <v>25104.699999999997</v>
      </c>
      <c r="E115" s="52">
        <f t="shared" si="28"/>
        <v>-12552.349999999919</v>
      </c>
      <c r="F115" s="52">
        <f t="shared" si="28"/>
        <v>-33572.699999999953</v>
      </c>
      <c r="G115" s="52">
        <f t="shared" si="28"/>
        <v>-11990.249999999985</v>
      </c>
      <c r="H115" s="52">
        <f t="shared" si="28"/>
        <v>33010.6</v>
      </c>
      <c r="I115" s="52">
        <f t="shared" si="28"/>
        <v>55.439545833333312</v>
      </c>
      <c r="J115" s="52">
        <f t="shared" si="28"/>
        <v>148.27942499999997</v>
      </c>
      <c r="K115" s="52">
        <f t="shared" si="28"/>
        <v>52.956937499999988</v>
      </c>
      <c r="L115" s="145">
        <f t="shared" si="28"/>
        <v>-145.79681666666664</v>
      </c>
    </row>
    <row r="116" spans="1:12" x14ac:dyDescent="0.25">
      <c r="A116" s="12">
        <v>2039</v>
      </c>
      <c r="B116" s="52">
        <f t="shared" ref="B116:L116" si="29">B72-B28</f>
        <v>0</v>
      </c>
      <c r="C116" s="52">
        <f t="shared" si="29"/>
        <v>-25104.699999999837</v>
      </c>
      <c r="D116" s="52">
        <f t="shared" si="29"/>
        <v>25104.699999999997</v>
      </c>
      <c r="E116" s="52">
        <f t="shared" si="29"/>
        <v>-12552.349999999919</v>
      </c>
      <c r="F116" s="52">
        <f t="shared" si="29"/>
        <v>-33572.699999999953</v>
      </c>
      <c r="G116" s="52">
        <f t="shared" si="29"/>
        <v>-11990.249999999985</v>
      </c>
      <c r="H116" s="52">
        <f t="shared" si="29"/>
        <v>33010.6</v>
      </c>
      <c r="I116" s="52">
        <f t="shared" si="29"/>
        <v>55.439545833333312</v>
      </c>
      <c r="J116" s="52">
        <f t="shared" si="29"/>
        <v>148.27942499999997</v>
      </c>
      <c r="K116" s="52">
        <f t="shared" si="29"/>
        <v>52.956937499999988</v>
      </c>
      <c r="L116" s="145">
        <f t="shared" si="29"/>
        <v>-145.79681666666664</v>
      </c>
    </row>
    <row r="117" spans="1:12" x14ac:dyDescent="0.25">
      <c r="A117" s="12">
        <v>2040</v>
      </c>
      <c r="B117" s="52">
        <f t="shared" ref="B117:L117" si="30">B73-B29</f>
        <v>0</v>
      </c>
      <c r="C117" s="52">
        <f t="shared" si="30"/>
        <v>-25104.699999999837</v>
      </c>
      <c r="D117" s="52">
        <f t="shared" si="30"/>
        <v>25104.699999999997</v>
      </c>
      <c r="E117" s="52">
        <f t="shared" si="30"/>
        <v>-12552.349999999919</v>
      </c>
      <c r="F117" s="52">
        <f t="shared" si="30"/>
        <v>-33572.699999999953</v>
      </c>
      <c r="G117" s="52">
        <f t="shared" si="30"/>
        <v>-11990.249999999985</v>
      </c>
      <c r="H117" s="52">
        <f t="shared" si="30"/>
        <v>33010.6</v>
      </c>
      <c r="I117" s="52">
        <f t="shared" si="30"/>
        <v>55.439545833333312</v>
      </c>
      <c r="J117" s="52">
        <f t="shared" si="30"/>
        <v>148.27942499999997</v>
      </c>
      <c r="K117" s="52">
        <f t="shared" si="30"/>
        <v>52.956937499999988</v>
      </c>
      <c r="L117" s="145">
        <f t="shared" si="30"/>
        <v>-145.79681666666664</v>
      </c>
    </row>
    <row r="118" spans="1:12" x14ac:dyDescent="0.25">
      <c r="A118" s="12">
        <v>2041</v>
      </c>
      <c r="B118" s="52">
        <f t="shared" ref="B118:L118" si="31">B74-B30</f>
        <v>0</v>
      </c>
      <c r="C118" s="52">
        <f t="shared" si="31"/>
        <v>-25104.699999999837</v>
      </c>
      <c r="D118" s="52">
        <f t="shared" si="31"/>
        <v>25104.699999999997</v>
      </c>
      <c r="E118" s="52">
        <f t="shared" si="31"/>
        <v>-12552.349999999919</v>
      </c>
      <c r="F118" s="52">
        <f t="shared" si="31"/>
        <v>-33572.699999999953</v>
      </c>
      <c r="G118" s="52">
        <f t="shared" si="31"/>
        <v>-11990.249999999985</v>
      </c>
      <c r="H118" s="52">
        <f t="shared" si="31"/>
        <v>33010.6</v>
      </c>
      <c r="I118" s="52">
        <f t="shared" si="31"/>
        <v>55.439545833333312</v>
      </c>
      <c r="J118" s="52">
        <f t="shared" si="31"/>
        <v>148.27942499999997</v>
      </c>
      <c r="K118" s="52">
        <f t="shared" si="31"/>
        <v>52.956937499999988</v>
      </c>
      <c r="L118" s="145">
        <f t="shared" si="31"/>
        <v>-145.79681666666664</v>
      </c>
    </row>
    <row r="119" spans="1:12" x14ac:dyDescent="0.25">
      <c r="A119" s="12">
        <v>2042</v>
      </c>
      <c r="B119" s="52">
        <f t="shared" ref="B119:L119" si="32">B75-B31</f>
        <v>0</v>
      </c>
      <c r="C119" s="52">
        <f t="shared" si="32"/>
        <v>-25104.699999999837</v>
      </c>
      <c r="D119" s="52">
        <f t="shared" si="32"/>
        <v>25104.699999999997</v>
      </c>
      <c r="E119" s="52">
        <f t="shared" si="32"/>
        <v>-12552.349999999919</v>
      </c>
      <c r="F119" s="52">
        <f t="shared" si="32"/>
        <v>-33572.699999999953</v>
      </c>
      <c r="G119" s="52">
        <f t="shared" si="32"/>
        <v>-11990.249999999985</v>
      </c>
      <c r="H119" s="52">
        <f t="shared" si="32"/>
        <v>33010.6</v>
      </c>
      <c r="I119" s="52">
        <f t="shared" si="32"/>
        <v>55.439545833333312</v>
      </c>
      <c r="J119" s="52">
        <f t="shared" si="32"/>
        <v>148.27942499999997</v>
      </c>
      <c r="K119" s="52">
        <f t="shared" si="32"/>
        <v>52.956937499999988</v>
      </c>
      <c r="L119" s="145">
        <f t="shared" si="32"/>
        <v>-145.79681666666664</v>
      </c>
    </row>
    <row r="120" spans="1:12" x14ac:dyDescent="0.25">
      <c r="A120" s="12">
        <v>2043</v>
      </c>
      <c r="B120" s="52">
        <f t="shared" ref="B120:L120" si="33">B76-B32</f>
        <v>0</v>
      </c>
      <c r="C120" s="52">
        <f t="shared" si="33"/>
        <v>-25104.699999999837</v>
      </c>
      <c r="D120" s="52">
        <f t="shared" si="33"/>
        <v>25104.699999999997</v>
      </c>
      <c r="E120" s="52">
        <f t="shared" si="33"/>
        <v>-12552.349999999919</v>
      </c>
      <c r="F120" s="52">
        <f t="shared" si="33"/>
        <v>-33572.699999999953</v>
      </c>
      <c r="G120" s="52">
        <f t="shared" si="33"/>
        <v>-11990.249999999985</v>
      </c>
      <c r="H120" s="52">
        <f t="shared" si="33"/>
        <v>33010.6</v>
      </c>
      <c r="I120" s="52">
        <f t="shared" si="33"/>
        <v>55.439545833333312</v>
      </c>
      <c r="J120" s="52">
        <f t="shared" si="33"/>
        <v>148.27942499999997</v>
      </c>
      <c r="K120" s="52">
        <f t="shared" si="33"/>
        <v>52.956937499999988</v>
      </c>
      <c r="L120" s="145">
        <f t="shared" si="33"/>
        <v>-145.79681666666664</v>
      </c>
    </row>
    <row r="121" spans="1:12" x14ac:dyDescent="0.25">
      <c r="A121" s="12">
        <v>2044</v>
      </c>
      <c r="B121" s="52">
        <f t="shared" ref="B121:L121" si="34">B77-B33</f>
        <v>0</v>
      </c>
      <c r="C121" s="52">
        <f t="shared" si="34"/>
        <v>-25104.699999999837</v>
      </c>
      <c r="D121" s="52">
        <f t="shared" si="34"/>
        <v>25104.699999999997</v>
      </c>
      <c r="E121" s="52">
        <f t="shared" si="34"/>
        <v>-12552.349999999919</v>
      </c>
      <c r="F121" s="52">
        <f t="shared" si="34"/>
        <v>-33572.699999999953</v>
      </c>
      <c r="G121" s="52">
        <f t="shared" si="34"/>
        <v>-11990.249999999985</v>
      </c>
      <c r="H121" s="52">
        <f t="shared" si="34"/>
        <v>33010.6</v>
      </c>
      <c r="I121" s="52">
        <f t="shared" si="34"/>
        <v>55.439545833333312</v>
      </c>
      <c r="J121" s="52">
        <f t="shared" si="34"/>
        <v>148.27942499999997</v>
      </c>
      <c r="K121" s="52">
        <f t="shared" si="34"/>
        <v>52.956937499999988</v>
      </c>
      <c r="L121" s="145">
        <f t="shared" si="34"/>
        <v>-145.79681666666664</v>
      </c>
    </row>
    <row r="122" spans="1:12" x14ac:dyDescent="0.25">
      <c r="A122" s="12">
        <v>2045</v>
      </c>
      <c r="B122" s="52">
        <f t="shared" ref="B122:L122" si="35">B78-B34</f>
        <v>0</v>
      </c>
      <c r="C122" s="52">
        <f t="shared" si="35"/>
        <v>-25104.699999999837</v>
      </c>
      <c r="D122" s="52">
        <f t="shared" si="35"/>
        <v>25104.699999999997</v>
      </c>
      <c r="E122" s="52">
        <f t="shared" si="35"/>
        <v>-12552.349999999919</v>
      </c>
      <c r="F122" s="52">
        <f t="shared" si="35"/>
        <v>-33572.699999999953</v>
      </c>
      <c r="G122" s="52">
        <f t="shared" si="35"/>
        <v>-11990.249999999985</v>
      </c>
      <c r="H122" s="52">
        <f t="shared" si="35"/>
        <v>33010.6</v>
      </c>
      <c r="I122" s="52">
        <f t="shared" si="35"/>
        <v>55.439545833333312</v>
      </c>
      <c r="J122" s="52">
        <f t="shared" si="35"/>
        <v>148.27942499999997</v>
      </c>
      <c r="K122" s="52">
        <f t="shared" si="35"/>
        <v>52.956937499999988</v>
      </c>
      <c r="L122" s="145">
        <f t="shared" si="35"/>
        <v>-145.79681666666664</v>
      </c>
    </row>
    <row r="123" spans="1:12" x14ac:dyDescent="0.25">
      <c r="A123" s="12">
        <v>2046</v>
      </c>
      <c r="B123" s="52">
        <f t="shared" ref="B123:L123" si="36">B79-B35</f>
        <v>0</v>
      </c>
      <c r="C123" s="52">
        <f t="shared" si="36"/>
        <v>-25104.699999999837</v>
      </c>
      <c r="D123" s="52">
        <f t="shared" si="36"/>
        <v>25104.699999999997</v>
      </c>
      <c r="E123" s="52">
        <f t="shared" si="36"/>
        <v>-12552.349999999919</v>
      </c>
      <c r="F123" s="52">
        <f t="shared" si="36"/>
        <v>-33572.699999999953</v>
      </c>
      <c r="G123" s="52">
        <f t="shared" si="36"/>
        <v>-11990.249999999985</v>
      </c>
      <c r="H123" s="52">
        <f t="shared" si="36"/>
        <v>33010.6</v>
      </c>
      <c r="I123" s="52">
        <f t="shared" si="36"/>
        <v>55.439545833333312</v>
      </c>
      <c r="J123" s="52">
        <f t="shared" si="36"/>
        <v>148.27942499999997</v>
      </c>
      <c r="K123" s="52">
        <f t="shared" si="36"/>
        <v>52.956937499999988</v>
      </c>
      <c r="L123" s="145">
        <f t="shared" si="36"/>
        <v>-145.79681666666664</v>
      </c>
    </row>
    <row r="124" spans="1:12" x14ac:dyDescent="0.25">
      <c r="A124" s="12">
        <v>2047</v>
      </c>
      <c r="B124" s="52">
        <f t="shared" ref="B124:L124" si="37">B80-B36</f>
        <v>0</v>
      </c>
      <c r="C124" s="52">
        <f t="shared" si="37"/>
        <v>-25104.699999999837</v>
      </c>
      <c r="D124" s="52">
        <f t="shared" si="37"/>
        <v>25104.699999999997</v>
      </c>
      <c r="E124" s="52">
        <f t="shared" si="37"/>
        <v>-12552.349999999919</v>
      </c>
      <c r="F124" s="52">
        <f t="shared" si="37"/>
        <v>-33572.699999999953</v>
      </c>
      <c r="G124" s="52">
        <f t="shared" si="37"/>
        <v>-11990.249999999985</v>
      </c>
      <c r="H124" s="52">
        <f t="shared" si="37"/>
        <v>33010.6</v>
      </c>
      <c r="I124" s="52">
        <f t="shared" si="37"/>
        <v>55.439545833333312</v>
      </c>
      <c r="J124" s="52">
        <f t="shared" si="37"/>
        <v>148.27942499999997</v>
      </c>
      <c r="K124" s="52">
        <f t="shared" si="37"/>
        <v>52.956937499999988</v>
      </c>
      <c r="L124" s="145">
        <f t="shared" si="37"/>
        <v>-145.79681666666664</v>
      </c>
    </row>
    <row r="125" spans="1:12" x14ac:dyDescent="0.25">
      <c r="A125" s="12">
        <v>2048</v>
      </c>
      <c r="B125" s="52">
        <f t="shared" ref="B125:L125" si="38">B81-B37</f>
        <v>0</v>
      </c>
      <c r="C125" s="52">
        <f t="shared" si="38"/>
        <v>-25104.699999999837</v>
      </c>
      <c r="D125" s="52">
        <f t="shared" si="38"/>
        <v>25104.699999999997</v>
      </c>
      <c r="E125" s="52">
        <f t="shared" si="38"/>
        <v>-12552.349999999919</v>
      </c>
      <c r="F125" s="52">
        <f t="shared" si="38"/>
        <v>-33572.699999999953</v>
      </c>
      <c r="G125" s="52">
        <f t="shared" si="38"/>
        <v>-11990.249999999985</v>
      </c>
      <c r="H125" s="52">
        <f t="shared" si="38"/>
        <v>33010.6</v>
      </c>
      <c r="I125" s="52">
        <f t="shared" si="38"/>
        <v>55.439545833333312</v>
      </c>
      <c r="J125" s="52">
        <f t="shared" si="38"/>
        <v>148.27942499999997</v>
      </c>
      <c r="K125" s="52">
        <f t="shared" si="38"/>
        <v>52.956937499999988</v>
      </c>
      <c r="L125" s="145">
        <f t="shared" si="38"/>
        <v>-145.79681666666664</v>
      </c>
    </row>
    <row r="126" spans="1:12" x14ac:dyDescent="0.25">
      <c r="A126" s="12">
        <v>2049</v>
      </c>
      <c r="B126" s="52">
        <f t="shared" ref="B126:L126" si="39">B82-B38</f>
        <v>0</v>
      </c>
      <c r="C126" s="52">
        <f t="shared" si="39"/>
        <v>-25104.699999999837</v>
      </c>
      <c r="D126" s="52">
        <f t="shared" si="39"/>
        <v>25104.699999999997</v>
      </c>
      <c r="E126" s="52">
        <f t="shared" si="39"/>
        <v>-12552.349999999919</v>
      </c>
      <c r="F126" s="52">
        <f t="shared" si="39"/>
        <v>-33572.699999999953</v>
      </c>
      <c r="G126" s="52">
        <f t="shared" si="39"/>
        <v>-11990.249999999985</v>
      </c>
      <c r="H126" s="52">
        <f t="shared" si="39"/>
        <v>33010.6</v>
      </c>
      <c r="I126" s="52">
        <f t="shared" si="39"/>
        <v>55.439545833333312</v>
      </c>
      <c r="J126" s="52">
        <f t="shared" si="39"/>
        <v>148.27942499999997</v>
      </c>
      <c r="K126" s="52">
        <f t="shared" si="39"/>
        <v>52.956937499999988</v>
      </c>
      <c r="L126" s="145">
        <f t="shared" si="39"/>
        <v>-145.79681666666664</v>
      </c>
    </row>
    <row r="127" spans="1:12" x14ac:dyDescent="0.25">
      <c r="A127" s="12">
        <v>2050</v>
      </c>
      <c r="B127" s="52">
        <f t="shared" ref="B127:L127" si="40">B83-B39</f>
        <v>0</v>
      </c>
      <c r="C127" s="52">
        <f t="shared" si="40"/>
        <v>-25104.699999999837</v>
      </c>
      <c r="D127" s="52">
        <f t="shared" si="40"/>
        <v>25104.699999999997</v>
      </c>
      <c r="E127" s="52">
        <f t="shared" si="40"/>
        <v>-12552.349999999919</v>
      </c>
      <c r="F127" s="52">
        <f t="shared" si="40"/>
        <v>-33572.699999999953</v>
      </c>
      <c r="G127" s="52">
        <f t="shared" si="40"/>
        <v>-11990.249999999985</v>
      </c>
      <c r="H127" s="52">
        <f t="shared" si="40"/>
        <v>33010.6</v>
      </c>
      <c r="I127" s="52">
        <f t="shared" si="40"/>
        <v>55.439545833333312</v>
      </c>
      <c r="J127" s="52">
        <f t="shared" si="40"/>
        <v>148.27942499999997</v>
      </c>
      <c r="K127" s="52">
        <f t="shared" si="40"/>
        <v>52.956937499999988</v>
      </c>
      <c r="L127" s="145">
        <f t="shared" si="40"/>
        <v>-145.79681666666664</v>
      </c>
    </row>
    <row r="128" spans="1:12" x14ac:dyDescent="0.25">
      <c r="A128" s="12">
        <v>2051</v>
      </c>
      <c r="B128" s="52">
        <f t="shared" ref="B128:L128" si="41">B84-B40</f>
        <v>0</v>
      </c>
      <c r="C128" s="52">
        <f t="shared" si="41"/>
        <v>-25104.699999999837</v>
      </c>
      <c r="D128" s="52">
        <f t="shared" si="41"/>
        <v>25104.699999999997</v>
      </c>
      <c r="E128" s="52">
        <f t="shared" si="41"/>
        <v>-12552.349999999919</v>
      </c>
      <c r="F128" s="52">
        <f t="shared" si="41"/>
        <v>-33572.699999999953</v>
      </c>
      <c r="G128" s="52">
        <f t="shared" si="41"/>
        <v>-11990.249999999985</v>
      </c>
      <c r="H128" s="52">
        <f t="shared" si="41"/>
        <v>33010.6</v>
      </c>
      <c r="I128" s="52">
        <f t="shared" si="41"/>
        <v>55.439545833333312</v>
      </c>
      <c r="J128" s="52">
        <f t="shared" si="41"/>
        <v>148.27942499999997</v>
      </c>
      <c r="K128" s="52">
        <f t="shared" si="41"/>
        <v>52.956937499999988</v>
      </c>
      <c r="L128" s="145">
        <f t="shared" si="41"/>
        <v>-145.79681666666664</v>
      </c>
    </row>
    <row r="129" spans="1:12" x14ac:dyDescent="0.25">
      <c r="A129" s="330">
        <v>2052</v>
      </c>
      <c r="B129" s="331">
        <f t="shared" ref="B129:L129" si="42">B85-B41</f>
        <v>0</v>
      </c>
      <c r="C129" s="331">
        <f t="shared" si="42"/>
        <v>-25104.699999999837</v>
      </c>
      <c r="D129" s="331">
        <f t="shared" si="42"/>
        <v>25104.699999999997</v>
      </c>
      <c r="E129" s="331">
        <f t="shared" si="42"/>
        <v>-12552.349999999919</v>
      </c>
      <c r="F129" s="331">
        <f t="shared" si="42"/>
        <v>-33572.699999999953</v>
      </c>
      <c r="G129" s="331">
        <f t="shared" si="42"/>
        <v>-11990.249999999985</v>
      </c>
      <c r="H129" s="331">
        <f t="shared" si="42"/>
        <v>33010.6</v>
      </c>
      <c r="I129" s="331">
        <f t="shared" si="42"/>
        <v>55.439545833333312</v>
      </c>
      <c r="J129" s="331">
        <f t="shared" si="42"/>
        <v>148.27942499999997</v>
      </c>
      <c r="K129" s="331">
        <f t="shared" si="42"/>
        <v>52.956937499999988</v>
      </c>
      <c r="L129" s="332">
        <f t="shared" si="42"/>
        <v>-145.79681666666664</v>
      </c>
    </row>
    <row r="130" spans="1:12" ht="15.75" thickBot="1" x14ac:dyDescent="0.3">
      <c r="A130" s="413" t="s">
        <v>1</v>
      </c>
      <c r="B130" s="416">
        <f>SUM(B91:B129)</f>
        <v>0</v>
      </c>
      <c r="C130" s="414">
        <f t="shared" ref="C130:L130" si="43">SUM(C91:C129)</f>
        <v>-614893.19999999588</v>
      </c>
      <c r="D130" s="414">
        <f t="shared" si="43"/>
        <v>614893.19999999995</v>
      </c>
      <c r="E130" s="414">
        <f t="shared" si="43"/>
        <v>-307446.59999999794</v>
      </c>
      <c r="F130" s="414">
        <f t="shared" si="43"/>
        <v>-822301.19999999891</v>
      </c>
      <c r="G130" s="414">
        <f t="shared" si="43"/>
        <v>-293678.99999999988</v>
      </c>
      <c r="H130" s="414">
        <f t="shared" si="43"/>
        <v>808533.59999999963</v>
      </c>
      <c r="I130" s="414">
        <f t="shared" si="43"/>
        <v>1357.88915</v>
      </c>
      <c r="J130" s="414">
        <f t="shared" si="43"/>
        <v>3631.830300000001</v>
      </c>
      <c r="K130" s="414">
        <f t="shared" si="43"/>
        <v>1297.0822500000002</v>
      </c>
      <c r="L130" s="415">
        <f t="shared" si="43"/>
        <v>-3571.0233999999982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82"/>
  <sheetViews>
    <sheetView zoomScale="70" zoomScaleNormal="70" workbookViewId="0">
      <selection activeCell="R13" sqref="R13:R42"/>
    </sheetView>
  </sheetViews>
  <sheetFormatPr defaultColWidth="9.140625" defaultRowHeight="15" x14ac:dyDescent="0.25"/>
  <cols>
    <col min="1" max="1" width="20.42578125" style="3" bestFit="1" customWidth="1"/>
    <col min="2" max="3" width="27.28515625" style="3" bestFit="1" customWidth="1"/>
    <col min="4" max="4" width="24.5703125" style="3" bestFit="1" customWidth="1"/>
    <col min="5" max="5" width="18.5703125" style="3" customWidth="1"/>
    <col min="6" max="6" width="21.140625" style="3" customWidth="1"/>
    <col min="7" max="7" width="22.7109375" style="3" customWidth="1"/>
    <col min="8" max="8" width="20" style="3" customWidth="1"/>
    <col min="9" max="9" width="22.5703125" style="3" customWidth="1"/>
    <col min="10" max="10" width="20.28515625" style="3" customWidth="1"/>
    <col min="11" max="11" width="20.85546875" style="3" customWidth="1"/>
    <col min="12" max="12" width="20" style="3" customWidth="1"/>
    <col min="13" max="13" width="20.5703125" style="3" customWidth="1"/>
    <col min="14" max="14" width="21.28515625" style="3" customWidth="1"/>
    <col min="15" max="15" width="19.140625" style="3" customWidth="1"/>
    <col min="16" max="16" width="18.42578125" style="3" customWidth="1"/>
    <col min="17" max="17" width="22.42578125" style="3" customWidth="1"/>
    <col min="18" max="18" width="22.28515625" style="3" customWidth="1"/>
    <col min="19" max="19" width="20.5703125" style="3" customWidth="1"/>
    <col min="20" max="20" width="21.7109375" style="3" bestFit="1" customWidth="1"/>
    <col min="21" max="21" width="19.5703125" style="3" bestFit="1" customWidth="1"/>
    <col min="22" max="22" width="12.85546875" style="3" customWidth="1"/>
    <col min="23" max="23" width="20.140625" style="3" customWidth="1"/>
    <col min="24" max="24" width="15.7109375" style="3" customWidth="1"/>
    <col min="25" max="25" width="13.140625" style="3" customWidth="1"/>
    <col min="26" max="26" width="14.140625" style="3" customWidth="1"/>
    <col min="27" max="27" width="15.85546875" style="3" bestFit="1" customWidth="1"/>
    <col min="28" max="28" width="14" style="3" customWidth="1"/>
    <col min="29" max="16384" width="9.140625" style="3"/>
  </cols>
  <sheetData>
    <row r="1" spans="1:18" ht="27" customHeight="1" thickBot="1" x14ac:dyDescent="0.4">
      <c r="A1" s="168" t="s">
        <v>97</v>
      </c>
    </row>
    <row r="2" spans="1:18" x14ac:dyDescent="0.25">
      <c r="A2" s="473" t="s">
        <v>78</v>
      </c>
      <c r="B2" s="467" t="s">
        <v>98</v>
      </c>
      <c r="C2" s="468"/>
      <c r="D2" s="468"/>
      <c r="E2" s="468"/>
      <c r="F2" s="468"/>
      <c r="G2" s="468"/>
      <c r="H2" s="469"/>
      <c r="I2" s="467" t="s">
        <v>99</v>
      </c>
      <c r="J2" s="468"/>
      <c r="K2" s="468"/>
      <c r="L2" s="468"/>
      <c r="M2" s="468"/>
      <c r="N2" s="468"/>
      <c r="O2" s="469"/>
      <c r="P2" s="470" t="s">
        <v>77</v>
      </c>
      <c r="Q2" s="471"/>
      <c r="R2" s="472"/>
    </row>
    <row r="3" spans="1:18" ht="48.75" customHeight="1" x14ac:dyDescent="0.25">
      <c r="A3" s="474"/>
      <c r="B3" s="146" t="s">
        <v>156</v>
      </c>
      <c r="C3" s="15" t="s">
        <v>153</v>
      </c>
      <c r="D3" s="15" t="s">
        <v>154</v>
      </c>
      <c r="E3" s="147" t="s">
        <v>155</v>
      </c>
      <c r="F3" s="15" t="s">
        <v>152</v>
      </c>
      <c r="G3" s="148" t="s">
        <v>241</v>
      </c>
      <c r="H3" s="149" t="s">
        <v>242</v>
      </c>
      <c r="I3" s="146" t="s">
        <v>243</v>
      </c>
      <c r="J3" s="15" t="s">
        <v>157</v>
      </c>
      <c r="K3" s="15" t="s">
        <v>158</v>
      </c>
      <c r="L3" s="147" t="s">
        <v>159</v>
      </c>
      <c r="M3" s="147" t="s">
        <v>245</v>
      </c>
      <c r="N3" s="147" t="s">
        <v>244</v>
      </c>
      <c r="O3" s="149" t="s">
        <v>191</v>
      </c>
      <c r="P3" s="146" t="s">
        <v>75</v>
      </c>
      <c r="Q3" s="147" t="s">
        <v>124</v>
      </c>
      <c r="R3" s="150" t="s">
        <v>76</v>
      </c>
    </row>
    <row r="4" spans="1:18" x14ac:dyDescent="0.25">
      <c r="A4" s="5">
        <v>2014</v>
      </c>
      <c r="B4" s="169">
        <f>'Trip Calculation'!E3</f>
        <v>0</v>
      </c>
      <c r="C4" s="170">
        <f>'Trip Calculation'!F3*'Other Factors'!$B$15</f>
        <v>0</v>
      </c>
      <c r="D4" s="170">
        <f>'Trip Calculation'!G3*'Other Factors'!$C$15</f>
        <v>0</v>
      </c>
      <c r="E4" s="171">
        <f>'Trip Calculation'!H3*'Other Factors'!$D$15</f>
        <v>0</v>
      </c>
      <c r="F4" s="172">
        <f>C4+D4+E4</f>
        <v>0</v>
      </c>
      <c r="G4" s="173">
        <f>F4*'Other Factors'!$B$8</f>
        <v>0</v>
      </c>
      <c r="H4" s="174">
        <f>(('Trip Calculation'!F3*'Other Factors'!$B$17)+('Trip Calculation'!G3*'Other Factors'!$C$17)+('Trip Calculation'!H3*'Other Factors'!$D$17))/60</f>
        <v>0</v>
      </c>
      <c r="I4" s="175">
        <f>'Trip Calculation'!E47</f>
        <v>0</v>
      </c>
      <c r="J4" s="173">
        <f>'Trip Calculation'!F47*'Other Factors'!$E$15</f>
        <v>0</v>
      </c>
      <c r="K4" s="173">
        <f>'Trip Calculation'!F47*'Other Factors'!$F$15</f>
        <v>0</v>
      </c>
      <c r="L4" s="176">
        <f>'Trip Calculation'!H47*'Other Factors'!$G$15</f>
        <v>0</v>
      </c>
      <c r="M4" s="177">
        <f t="shared" ref="M4" si="0">J4+K4+L4</f>
        <v>0</v>
      </c>
      <c r="N4" s="173">
        <f>M4*'Other Factors'!$B$8</f>
        <v>0</v>
      </c>
      <c r="O4" s="178">
        <f>(('Trip Calculation'!F47*'Other Factors'!$E$17)+('Trip Calculation'!G47*'Other Factors'!$F$17)+('Trip Calculation'!H47*'Other Factors'!$G$17))/60</f>
        <v>0</v>
      </c>
      <c r="P4" s="169">
        <f t="shared" ref="P4:R5" si="1">M4-F4</f>
        <v>0</v>
      </c>
      <c r="Q4" s="179">
        <f t="shared" si="1"/>
        <v>0</v>
      </c>
      <c r="R4" s="180">
        <f t="shared" si="1"/>
        <v>0</v>
      </c>
    </row>
    <row r="5" spans="1:18" x14ac:dyDescent="0.25">
      <c r="A5" s="5">
        <v>2015</v>
      </c>
      <c r="B5" s="169">
        <f>'Trip Calculation'!E4</f>
        <v>0</v>
      </c>
      <c r="C5" s="170">
        <f>'Trip Calculation'!F4*'Other Factors'!$B$15</f>
        <v>0</v>
      </c>
      <c r="D5" s="170">
        <f>'Trip Calculation'!G4*'Other Factors'!$C$15</f>
        <v>0</v>
      </c>
      <c r="E5" s="171">
        <f>'Trip Calculation'!H4*'Other Factors'!$D$15</f>
        <v>0</v>
      </c>
      <c r="F5" s="172">
        <f>C5+D5+E5</f>
        <v>0</v>
      </c>
      <c r="G5" s="179">
        <f>F5*'Other Factors'!$B$8</f>
        <v>0</v>
      </c>
      <c r="H5" s="174">
        <f>(('Trip Calculation'!F4*'Other Factors'!$B$17)+('Trip Calculation'!G4*'Other Factors'!$C$17)+('Trip Calculation'!H4*'Other Factors'!$D$17))/60</f>
        <v>0</v>
      </c>
      <c r="I5" s="175">
        <f>'Trip Calculation'!E48</f>
        <v>0</v>
      </c>
      <c r="J5" s="179">
        <f>'Trip Calculation'!F48*'Other Factors'!$E$15</f>
        <v>0</v>
      </c>
      <c r="K5" s="179">
        <f>'Trip Calculation'!F48*'Other Factors'!$F$15</f>
        <v>0</v>
      </c>
      <c r="L5" s="176">
        <f>'Trip Calculation'!H48*'Other Factors'!$G$15</f>
        <v>0</v>
      </c>
      <c r="M5" s="177">
        <f t="shared" ref="M5:M37" si="2">J5+K5+L5</f>
        <v>0</v>
      </c>
      <c r="N5" s="179">
        <f>M5*'Other Factors'!$B$8</f>
        <v>0</v>
      </c>
      <c r="O5" s="178">
        <f>(('Trip Calculation'!F48*'Other Factors'!$E$17)+('Trip Calculation'!G48*'Other Factors'!$F$17)+('Trip Calculation'!H48*'Other Factors'!$G$17))/60</f>
        <v>0</v>
      </c>
      <c r="P5" s="169">
        <f t="shared" si="1"/>
        <v>0</v>
      </c>
      <c r="Q5" s="179">
        <f t="shared" si="1"/>
        <v>0</v>
      </c>
      <c r="R5" s="180">
        <f t="shared" si="1"/>
        <v>0</v>
      </c>
    </row>
    <row r="6" spans="1:18" x14ac:dyDescent="0.25">
      <c r="A6" s="5">
        <v>2016</v>
      </c>
      <c r="B6" s="169">
        <f>'Trip Calculation'!E5</f>
        <v>0</v>
      </c>
      <c r="C6" s="170">
        <f>'Trip Calculation'!F5*'Other Factors'!$B$15</f>
        <v>0</v>
      </c>
      <c r="D6" s="170">
        <f>'Trip Calculation'!G5*'Other Factors'!$C$15</f>
        <v>0</v>
      </c>
      <c r="E6" s="171">
        <f>'Trip Calculation'!H5*'Other Factors'!$D$15</f>
        <v>0</v>
      </c>
      <c r="F6" s="172">
        <f t="shared" ref="F6:F37" si="3">C6+D6+E6</f>
        <v>0</v>
      </c>
      <c r="G6" s="179">
        <f>F6*'Other Factors'!$B$8</f>
        <v>0</v>
      </c>
      <c r="H6" s="174">
        <f>(('Trip Calculation'!F5*'Other Factors'!$B$17)+('Trip Calculation'!G5*'Other Factors'!$C$17)+('Trip Calculation'!H5*'Other Factors'!$D$17))/60</f>
        <v>0</v>
      </c>
      <c r="I6" s="175">
        <f>'Trip Calculation'!E49</f>
        <v>0</v>
      </c>
      <c r="J6" s="179">
        <f>'Trip Calculation'!F49*'Other Factors'!$E$15</f>
        <v>0</v>
      </c>
      <c r="K6" s="179">
        <f>'Trip Calculation'!F49*'Other Factors'!$F$15</f>
        <v>0</v>
      </c>
      <c r="L6" s="176">
        <f>'Trip Calculation'!H49*'Other Factors'!$G$15</f>
        <v>0</v>
      </c>
      <c r="M6" s="177">
        <f t="shared" si="2"/>
        <v>0</v>
      </c>
      <c r="N6" s="179">
        <f>M6*'Other Factors'!$B$8</f>
        <v>0</v>
      </c>
      <c r="O6" s="178">
        <f>(('Trip Calculation'!F49*'Other Factors'!$E$17)+('Trip Calculation'!G49*'Other Factors'!$F$17)+('Trip Calculation'!H49*'Other Factors'!$G$17))/60</f>
        <v>0</v>
      </c>
      <c r="P6" s="169">
        <f t="shared" ref="P6:P37" si="4">M6-F6</f>
        <v>0</v>
      </c>
      <c r="Q6" s="179">
        <f t="shared" ref="Q6:Q37" si="5">N6-G6</f>
        <v>0</v>
      </c>
      <c r="R6" s="180">
        <f t="shared" ref="R6:R37" si="6">O6-H6</f>
        <v>0</v>
      </c>
    </row>
    <row r="7" spans="1:18" x14ac:dyDescent="0.25">
      <c r="A7" s="5">
        <v>2017</v>
      </c>
      <c r="B7" s="169">
        <f>'Trip Calculation'!E6</f>
        <v>0</v>
      </c>
      <c r="C7" s="170">
        <f>'Trip Calculation'!F6*'Other Factors'!$B$15</f>
        <v>0</v>
      </c>
      <c r="D7" s="170">
        <f>'Trip Calculation'!G6*'Other Factors'!$C$15</f>
        <v>0</v>
      </c>
      <c r="E7" s="171">
        <f>'Trip Calculation'!H6*'Other Factors'!$D$15</f>
        <v>0</v>
      </c>
      <c r="F7" s="172">
        <f t="shared" si="3"/>
        <v>0</v>
      </c>
      <c r="G7" s="179">
        <f>F7*'Other Factors'!$B$8</f>
        <v>0</v>
      </c>
      <c r="H7" s="174">
        <f>(('Trip Calculation'!F6*'Other Factors'!$B$17)+('Trip Calculation'!G6*'Other Factors'!$C$17)+('Trip Calculation'!H6*'Other Factors'!$D$17))/60</f>
        <v>0</v>
      </c>
      <c r="I7" s="175">
        <f>'Trip Calculation'!E50</f>
        <v>0</v>
      </c>
      <c r="J7" s="179">
        <f>'Trip Calculation'!F50*'Other Factors'!$E$15</f>
        <v>0</v>
      </c>
      <c r="K7" s="179">
        <f>'Trip Calculation'!F50*'Other Factors'!$F$15</f>
        <v>0</v>
      </c>
      <c r="L7" s="176">
        <f>'Trip Calculation'!H50*'Other Factors'!$G$15</f>
        <v>0</v>
      </c>
      <c r="M7" s="177">
        <f t="shared" si="2"/>
        <v>0</v>
      </c>
      <c r="N7" s="179">
        <f>M7*'Other Factors'!$B$8</f>
        <v>0</v>
      </c>
      <c r="O7" s="178">
        <f>(('Trip Calculation'!F50*'Other Factors'!$E$17)+('Trip Calculation'!G50*'Other Factors'!$F$17)+('Trip Calculation'!H50*'Other Factors'!$G$17))/60</f>
        <v>0</v>
      </c>
      <c r="P7" s="169">
        <f t="shared" si="4"/>
        <v>0</v>
      </c>
      <c r="Q7" s="179">
        <f t="shared" si="5"/>
        <v>0</v>
      </c>
      <c r="R7" s="180">
        <f t="shared" si="6"/>
        <v>0</v>
      </c>
    </row>
    <row r="8" spans="1:18" x14ac:dyDescent="0.25">
      <c r="A8" s="5">
        <v>2018</v>
      </c>
      <c r="B8" s="169">
        <f>'Trip Calculation'!E7</f>
        <v>0</v>
      </c>
      <c r="C8" s="170">
        <f>'Trip Calculation'!F7*'Other Factors'!$B$15</f>
        <v>0</v>
      </c>
      <c r="D8" s="170">
        <f>'Trip Calculation'!G7*'Other Factors'!$C$15</f>
        <v>0</v>
      </c>
      <c r="E8" s="171">
        <f>'Trip Calculation'!H7*'Other Factors'!$D$15</f>
        <v>0</v>
      </c>
      <c r="F8" s="172">
        <f t="shared" si="3"/>
        <v>0</v>
      </c>
      <c r="G8" s="179">
        <f>F8*'Other Factors'!$B$8</f>
        <v>0</v>
      </c>
      <c r="H8" s="174">
        <f>(('Trip Calculation'!F7*'Other Factors'!$B$17)+('Trip Calculation'!G7*'Other Factors'!$C$17)+('Trip Calculation'!H7*'Other Factors'!$D$17))/60</f>
        <v>0</v>
      </c>
      <c r="I8" s="175">
        <f>'Trip Calculation'!E51</f>
        <v>0</v>
      </c>
      <c r="J8" s="179">
        <f>'Trip Calculation'!F51*'Other Factors'!$E$15</f>
        <v>0</v>
      </c>
      <c r="K8" s="179">
        <f>'Trip Calculation'!F51*'Other Factors'!$F$15</f>
        <v>0</v>
      </c>
      <c r="L8" s="176">
        <f>'Trip Calculation'!H51*'Other Factors'!$G$15</f>
        <v>0</v>
      </c>
      <c r="M8" s="177">
        <f t="shared" si="2"/>
        <v>0</v>
      </c>
      <c r="N8" s="179">
        <f>M8*'Other Factors'!$B$8</f>
        <v>0</v>
      </c>
      <c r="O8" s="178">
        <f>(('Trip Calculation'!F51*'Other Factors'!$E$17)+('Trip Calculation'!G51*'Other Factors'!$F$17)+('Trip Calculation'!H51*'Other Factors'!$G$17))/60</f>
        <v>0</v>
      </c>
      <c r="P8" s="169">
        <f t="shared" si="4"/>
        <v>0</v>
      </c>
      <c r="Q8" s="179">
        <f t="shared" si="5"/>
        <v>0</v>
      </c>
      <c r="R8" s="180">
        <f t="shared" si="6"/>
        <v>0</v>
      </c>
    </row>
    <row r="9" spans="1:18" x14ac:dyDescent="0.25">
      <c r="A9" s="5">
        <v>2019</v>
      </c>
      <c r="B9" s="169">
        <f>'Trip Calculation'!E8</f>
        <v>0</v>
      </c>
      <c r="C9" s="170">
        <f>'Trip Calculation'!F8*'Other Factors'!$B$15</f>
        <v>0</v>
      </c>
      <c r="D9" s="170">
        <f>'Trip Calculation'!G8*'Other Factors'!$C$15</f>
        <v>0</v>
      </c>
      <c r="E9" s="171">
        <f>'Trip Calculation'!H8*'Other Factors'!$D$15</f>
        <v>0</v>
      </c>
      <c r="F9" s="172">
        <f t="shared" si="3"/>
        <v>0</v>
      </c>
      <c r="G9" s="179">
        <f>F9*'Other Factors'!$B$8</f>
        <v>0</v>
      </c>
      <c r="H9" s="174">
        <f>(('Trip Calculation'!F8*'Other Factors'!$B$17)+('Trip Calculation'!G8*'Other Factors'!$C$17)+('Trip Calculation'!H8*'Other Factors'!$D$17))/60</f>
        <v>0</v>
      </c>
      <c r="I9" s="175">
        <f>'Trip Calculation'!E52</f>
        <v>0</v>
      </c>
      <c r="J9" s="179">
        <f>'Trip Calculation'!F52*'Other Factors'!$E$15</f>
        <v>0</v>
      </c>
      <c r="K9" s="179">
        <f>'Trip Calculation'!F52*'Other Factors'!$F$15</f>
        <v>0</v>
      </c>
      <c r="L9" s="176">
        <f>'Trip Calculation'!H52*'Other Factors'!$G$15</f>
        <v>0</v>
      </c>
      <c r="M9" s="177">
        <f t="shared" si="2"/>
        <v>0</v>
      </c>
      <c r="N9" s="179">
        <f>M9*'Other Factors'!$B$8</f>
        <v>0</v>
      </c>
      <c r="O9" s="178">
        <f>(('Trip Calculation'!F52*'Other Factors'!$E$17)+('Trip Calculation'!G52*'Other Factors'!$F$17)+('Trip Calculation'!H52*'Other Factors'!$G$17))/60</f>
        <v>0</v>
      </c>
      <c r="P9" s="169">
        <f t="shared" si="4"/>
        <v>0</v>
      </c>
      <c r="Q9" s="179">
        <f t="shared" si="5"/>
        <v>0</v>
      </c>
      <c r="R9" s="180">
        <f t="shared" si="6"/>
        <v>0</v>
      </c>
    </row>
    <row r="10" spans="1:18" x14ac:dyDescent="0.25">
      <c r="A10" s="5">
        <v>2020</v>
      </c>
      <c r="B10" s="169">
        <f>'Trip Calculation'!E9</f>
        <v>0</v>
      </c>
      <c r="C10" s="170">
        <f>'Trip Calculation'!F9*'Other Factors'!$B$15</f>
        <v>0</v>
      </c>
      <c r="D10" s="170">
        <f>'Trip Calculation'!G9*'Other Factors'!$C$15</f>
        <v>0</v>
      </c>
      <c r="E10" s="171">
        <f>'Trip Calculation'!H9*'Other Factors'!$D$15</f>
        <v>0</v>
      </c>
      <c r="F10" s="172">
        <f t="shared" si="3"/>
        <v>0</v>
      </c>
      <c r="G10" s="179">
        <f>F10*'Other Factors'!$B$8</f>
        <v>0</v>
      </c>
      <c r="H10" s="174">
        <f>(('Trip Calculation'!F9*'Other Factors'!$B$17)+('Trip Calculation'!G9*'Other Factors'!$C$17)+('Trip Calculation'!H9*'Other Factors'!$D$17))/60</f>
        <v>0</v>
      </c>
      <c r="I10" s="175">
        <f>'Trip Calculation'!E53</f>
        <v>0</v>
      </c>
      <c r="J10" s="179">
        <f>'Trip Calculation'!F53*'Other Factors'!$E$15</f>
        <v>0</v>
      </c>
      <c r="K10" s="179">
        <f>'Trip Calculation'!F53*'Other Factors'!$F$15</f>
        <v>0</v>
      </c>
      <c r="L10" s="176">
        <f>'Trip Calculation'!H53*'Other Factors'!$G$15</f>
        <v>0</v>
      </c>
      <c r="M10" s="177">
        <f t="shared" si="2"/>
        <v>0</v>
      </c>
      <c r="N10" s="179">
        <f>M10*'Other Factors'!$B$8</f>
        <v>0</v>
      </c>
      <c r="O10" s="178">
        <f>(('Trip Calculation'!F53*'Other Factors'!$E$17)+('Trip Calculation'!G53*'Other Factors'!$F$17)+('Trip Calculation'!H53*'Other Factors'!$G$17))/60</f>
        <v>0</v>
      </c>
      <c r="P10" s="169">
        <f t="shared" si="4"/>
        <v>0</v>
      </c>
      <c r="Q10" s="179">
        <f t="shared" si="5"/>
        <v>0</v>
      </c>
      <c r="R10" s="180">
        <f t="shared" si="6"/>
        <v>0</v>
      </c>
    </row>
    <row r="11" spans="1:18" x14ac:dyDescent="0.25">
      <c r="A11" s="5">
        <v>2021</v>
      </c>
      <c r="B11" s="169">
        <f>'Trip Calculation'!E10</f>
        <v>0</v>
      </c>
      <c r="C11" s="170">
        <f>'Trip Calculation'!F10*'Other Factors'!$B$15</f>
        <v>0</v>
      </c>
      <c r="D11" s="170">
        <f>'Trip Calculation'!G10*'Other Factors'!$C$15</f>
        <v>0</v>
      </c>
      <c r="E11" s="171">
        <f>'Trip Calculation'!H10*'Other Factors'!$D$15</f>
        <v>0</v>
      </c>
      <c r="F11" s="172">
        <f t="shared" si="3"/>
        <v>0</v>
      </c>
      <c r="G11" s="179">
        <f>F11*'Other Factors'!$B$8</f>
        <v>0</v>
      </c>
      <c r="H11" s="174">
        <f>(('Trip Calculation'!F10*'Other Factors'!$B$17)+('Trip Calculation'!G10*'Other Factors'!$C$17)+('Trip Calculation'!H10*'Other Factors'!$D$17))/60</f>
        <v>0</v>
      </c>
      <c r="I11" s="175">
        <f>'Trip Calculation'!E54</f>
        <v>0</v>
      </c>
      <c r="J11" s="179">
        <f>'Trip Calculation'!F54*'Other Factors'!$E$15</f>
        <v>0</v>
      </c>
      <c r="K11" s="179">
        <f>'Trip Calculation'!F54*'Other Factors'!$F$15</f>
        <v>0</v>
      </c>
      <c r="L11" s="176">
        <f>'Trip Calculation'!H54*'Other Factors'!$G$15</f>
        <v>0</v>
      </c>
      <c r="M11" s="177">
        <f t="shared" si="2"/>
        <v>0</v>
      </c>
      <c r="N11" s="179">
        <f>M11*'Other Factors'!$B$8</f>
        <v>0</v>
      </c>
      <c r="O11" s="178">
        <f>(('Trip Calculation'!F54*'Other Factors'!$E$17)+('Trip Calculation'!G54*'Other Factors'!$F$17)+('Trip Calculation'!H54*'Other Factors'!$G$17))/60</f>
        <v>0</v>
      </c>
      <c r="P11" s="169">
        <f t="shared" si="4"/>
        <v>0</v>
      </c>
      <c r="Q11" s="179">
        <f t="shared" si="5"/>
        <v>0</v>
      </c>
      <c r="R11" s="180">
        <f t="shared" si="6"/>
        <v>0</v>
      </c>
    </row>
    <row r="12" spans="1:18" x14ac:dyDescent="0.25">
      <c r="A12" s="5">
        <v>2022</v>
      </c>
      <c r="B12" s="169">
        <f>'Trip Calculation'!E11</f>
        <v>0</v>
      </c>
      <c r="C12" s="170">
        <f>'Trip Calculation'!F11*'Other Factors'!$B$15</f>
        <v>0</v>
      </c>
      <c r="D12" s="170">
        <f>'Trip Calculation'!G11*'Other Factors'!$C$15</f>
        <v>0</v>
      </c>
      <c r="E12" s="171">
        <f>'Trip Calculation'!H11*'Other Factors'!$D$15</f>
        <v>0</v>
      </c>
      <c r="F12" s="172">
        <f t="shared" si="3"/>
        <v>0</v>
      </c>
      <c r="G12" s="179">
        <f>F12*'Other Factors'!$B$8</f>
        <v>0</v>
      </c>
      <c r="H12" s="174">
        <f>(('Trip Calculation'!F11*'Other Factors'!$B$17)+('Trip Calculation'!G11*'Other Factors'!$C$17)+('Trip Calculation'!H11*'Other Factors'!$D$17))/60</f>
        <v>0</v>
      </c>
      <c r="I12" s="175">
        <f>'Trip Calculation'!E55</f>
        <v>0</v>
      </c>
      <c r="J12" s="179">
        <f>'Trip Calculation'!F55*'Other Factors'!$E$15</f>
        <v>0</v>
      </c>
      <c r="K12" s="179">
        <f>'Trip Calculation'!F55*'Other Factors'!$F$15</f>
        <v>0</v>
      </c>
      <c r="L12" s="176">
        <f>'Trip Calculation'!H55*'Other Factors'!$G$15</f>
        <v>0</v>
      </c>
      <c r="M12" s="177">
        <f t="shared" si="2"/>
        <v>0</v>
      </c>
      <c r="N12" s="179">
        <f>M12*'Other Factors'!$B$8</f>
        <v>0</v>
      </c>
      <c r="O12" s="178">
        <f>(('Trip Calculation'!F55*'Other Factors'!$E$17)+('Trip Calculation'!G55*'Other Factors'!$F$17)+('Trip Calculation'!H55*'Other Factors'!$G$17))/60</f>
        <v>0</v>
      </c>
      <c r="P12" s="169">
        <f t="shared" si="4"/>
        <v>0</v>
      </c>
      <c r="Q12" s="179">
        <f t="shared" si="5"/>
        <v>0</v>
      </c>
      <c r="R12" s="180">
        <f t="shared" si="6"/>
        <v>0</v>
      </c>
    </row>
    <row r="13" spans="1:18" x14ac:dyDescent="0.25">
      <c r="A13" s="5">
        <v>2023</v>
      </c>
      <c r="B13" s="169">
        <f>'Trip Calculation'!E12</f>
        <v>21899.999999999996</v>
      </c>
      <c r="C13" s="170">
        <f>'Trip Calculation'!F12*'Other Factors'!$B$15</f>
        <v>613199.99999999988</v>
      </c>
      <c r="D13" s="170">
        <f>'Trip Calculation'!G12*'Other Factors'!$C$15</f>
        <v>1231875</v>
      </c>
      <c r="E13" s="171">
        <f>'Trip Calculation'!H12*'Other Factors'!$D$15</f>
        <v>706275</v>
      </c>
      <c r="F13" s="172">
        <f t="shared" si="3"/>
        <v>2551350</v>
      </c>
      <c r="G13" s="179">
        <f>F13*'Other Factors'!$B$8</f>
        <v>96951300</v>
      </c>
      <c r="H13" s="174">
        <f>(('Trip Calculation'!F12*'Other Factors'!$B$17)+('Trip Calculation'!G12*'Other Factors'!$C$17)+('Trip Calculation'!H12*'Other Factors'!$D$17))/60</f>
        <v>39641.230555555558</v>
      </c>
      <c r="I13" s="175">
        <f>'Trip Calculation'!E56</f>
        <v>21040.250000000004</v>
      </c>
      <c r="J13" s="179">
        <f>'Trip Calculation'!F56*'Other Factors'!$E$15</f>
        <v>1929817.0500000003</v>
      </c>
      <c r="K13" s="179">
        <f>'Trip Calculation'!F56*'Other Factors'!$F$15</f>
        <v>3169669.1250000005</v>
      </c>
      <c r="L13" s="176">
        <f>'Trip Calculation'!H56*'Other Factors'!$G$15</f>
        <v>916523.59999999986</v>
      </c>
      <c r="M13" s="177">
        <f t="shared" si="2"/>
        <v>6016009.7750000004</v>
      </c>
      <c r="N13" s="179">
        <f>M13*'Other Factors'!$B$8</f>
        <v>228608371.45000002</v>
      </c>
      <c r="O13" s="178">
        <f>(('Trip Calculation'!F56*'Other Factors'!$E$17)+('Trip Calculation'!G56*'Other Factors'!$F$17)+('Trip Calculation'!H56*'Other Factors'!$G$17))/60</f>
        <v>66899.865020833357</v>
      </c>
      <c r="P13" s="169">
        <f t="shared" si="4"/>
        <v>3464659.7750000004</v>
      </c>
      <c r="Q13" s="179">
        <f t="shared" si="5"/>
        <v>131657071.45000002</v>
      </c>
      <c r="R13" s="180">
        <f t="shared" si="6"/>
        <v>27258.634465277799</v>
      </c>
    </row>
    <row r="14" spans="1:18" x14ac:dyDescent="0.25">
      <c r="A14" s="5">
        <v>2024</v>
      </c>
      <c r="B14" s="169">
        <f>'Trip Calculation'!E13</f>
        <v>43799.999999999993</v>
      </c>
      <c r="C14" s="170">
        <f>'Trip Calculation'!F13*'Other Factors'!$B$15</f>
        <v>1226399.9999999998</v>
      </c>
      <c r="D14" s="170">
        <f>'Trip Calculation'!G13*'Other Factors'!$C$15</f>
        <v>2463750</v>
      </c>
      <c r="E14" s="171">
        <f>'Trip Calculation'!H13*'Other Factors'!$D$15</f>
        <v>1412550</v>
      </c>
      <c r="F14" s="172">
        <f t="shared" si="3"/>
        <v>5102700</v>
      </c>
      <c r="G14" s="179">
        <f>F14*'Other Factors'!$B$8</f>
        <v>193902600</v>
      </c>
      <c r="H14" s="174">
        <f>(('Trip Calculation'!F13*'Other Factors'!$B$17)+('Trip Calculation'!G13*'Other Factors'!$C$17)+('Trip Calculation'!H13*'Other Factors'!$D$17))/60</f>
        <v>79282.461111111115</v>
      </c>
      <c r="I14" s="175">
        <f>'Trip Calculation'!E57</f>
        <v>42080.500000000007</v>
      </c>
      <c r="J14" s="179">
        <f>'Trip Calculation'!F57*'Other Factors'!$E$15</f>
        <v>3859634.1000000006</v>
      </c>
      <c r="K14" s="179">
        <f>'Trip Calculation'!F57*'Other Factors'!$F$15</f>
        <v>6339338.2500000009</v>
      </c>
      <c r="L14" s="176">
        <f>'Trip Calculation'!H57*'Other Factors'!$G$15</f>
        <v>1833047.1999999997</v>
      </c>
      <c r="M14" s="177">
        <f t="shared" si="2"/>
        <v>12032019.550000001</v>
      </c>
      <c r="N14" s="179">
        <f>M14*'Other Factors'!$B$8</f>
        <v>457216742.90000004</v>
      </c>
      <c r="O14" s="178">
        <f>(('Trip Calculation'!F57*'Other Factors'!$E$17)+('Trip Calculation'!G57*'Other Factors'!$F$17)+('Trip Calculation'!H57*'Other Factors'!$G$17))/60</f>
        <v>133799.73004166671</v>
      </c>
      <c r="P14" s="169">
        <f t="shared" si="4"/>
        <v>6929319.5500000007</v>
      </c>
      <c r="Q14" s="179">
        <f t="shared" si="5"/>
        <v>263314142.90000004</v>
      </c>
      <c r="R14" s="180">
        <f t="shared" si="6"/>
        <v>54517.268930555598</v>
      </c>
    </row>
    <row r="15" spans="1:18" x14ac:dyDescent="0.25">
      <c r="A15" s="5">
        <v>2025</v>
      </c>
      <c r="B15" s="169">
        <f>'Trip Calculation'!E14</f>
        <v>65699.999999999985</v>
      </c>
      <c r="C15" s="170">
        <f>'Trip Calculation'!F14*'Other Factors'!$B$15</f>
        <v>1839599.9999999998</v>
      </c>
      <c r="D15" s="170">
        <f>'Trip Calculation'!G14*'Other Factors'!$C$15</f>
        <v>3695625</v>
      </c>
      <c r="E15" s="171">
        <f>'Trip Calculation'!H14*'Other Factors'!$D$15</f>
        <v>2118825.0000000005</v>
      </c>
      <c r="F15" s="172">
        <f t="shared" si="3"/>
        <v>7654050</v>
      </c>
      <c r="G15" s="179">
        <f>F15*'Other Factors'!$B$8</f>
        <v>290853900</v>
      </c>
      <c r="H15" s="174">
        <f>(('Trip Calculation'!F14*'Other Factors'!$B$17)+('Trip Calculation'!G14*'Other Factors'!$C$17)+('Trip Calculation'!H14*'Other Factors'!$D$17))/60</f>
        <v>118923.69166666667</v>
      </c>
      <c r="I15" s="175">
        <f>'Trip Calculation'!E58</f>
        <v>63120.750000000007</v>
      </c>
      <c r="J15" s="179">
        <f>'Trip Calculation'!F58*'Other Factors'!$E$15</f>
        <v>5789451.1499999994</v>
      </c>
      <c r="K15" s="179">
        <f>'Trip Calculation'!F58*'Other Factors'!$F$15</f>
        <v>9509007.375</v>
      </c>
      <c r="L15" s="176">
        <f>'Trip Calculation'!H58*'Other Factors'!$G$15</f>
        <v>2749570.8</v>
      </c>
      <c r="M15" s="177">
        <f t="shared" si="2"/>
        <v>18048029.324999999</v>
      </c>
      <c r="N15" s="179">
        <f>M15*'Other Factors'!$B$8</f>
        <v>685825114.35000002</v>
      </c>
      <c r="O15" s="178">
        <f>(('Trip Calculation'!F58*'Other Factors'!$E$17)+('Trip Calculation'!G58*'Other Factors'!$F$17)+('Trip Calculation'!H58*'Other Factors'!$G$17))/60</f>
        <v>200699.59506250001</v>
      </c>
      <c r="P15" s="169">
        <f t="shared" si="4"/>
        <v>10393979.324999999</v>
      </c>
      <c r="Q15" s="179">
        <f t="shared" si="5"/>
        <v>394971214.35000002</v>
      </c>
      <c r="R15" s="180">
        <f t="shared" si="6"/>
        <v>81775.903395833346</v>
      </c>
    </row>
    <row r="16" spans="1:18" x14ac:dyDescent="0.25">
      <c r="A16" s="5">
        <v>2026</v>
      </c>
      <c r="B16" s="169">
        <f>'Trip Calculation'!E15</f>
        <v>87599.999999999985</v>
      </c>
      <c r="C16" s="170">
        <f>'Trip Calculation'!F15*'Other Factors'!$B$15</f>
        <v>2452799.9999999995</v>
      </c>
      <c r="D16" s="170">
        <f>'Trip Calculation'!G15*'Other Factors'!$C$15</f>
        <v>4927500</v>
      </c>
      <c r="E16" s="171">
        <f>'Trip Calculation'!H15*'Other Factors'!$D$15</f>
        <v>2825100</v>
      </c>
      <c r="F16" s="172">
        <f t="shared" si="3"/>
        <v>10205400</v>
      </c>
      <c r="G16" s="179">
        <f>F16*'Other Factors'!$B$8</f>
        <v>387805200</v>
      </c>
      <c r="H16" s="174">
        <f>(('Trip Calculation'!F15*'Other Factors'!$B$17)+('Trip Calculation'!G15*'Other Factors'!$C$17)+('Trip Calculation'!H15*'Other Factors'!$D$17))/60</f>
        <v>158564.92222222223</v>
      </c>
      <c r="I16" s="175">
        <f>'Trip Calculation'!E59</f>
        <v>84161.000000000015</v>
      </c>
      <c r="J16" s="179">
        <f>'Trip Calculation'!F59*'Other Factors'!$E$15</f>
        <v>7719268.2000000011</v>
      </c>
      <c r="K16" s="179">
        <f>'Trip Calculation'!F59*'Other Factors'!$F$15</f>
        <v>12678676.500000002</v>
      </c>
      <c r="L16" s="176">
        <f>'Trip Calculation'!H59*'Other Factors'!$G$15</f>
        <v>3666094.3999999994</v>
      </c>
      <c r="M16" s="177">
        <f t="shared" si="2"/>
        <v>24064039.100000001</v>
      </c>
      <c r="N16" s="179">
        <f>M16*'Other Factors'!$B$8</f>
        <v>914433485.80000007</v>
      </c>
      <c r="O16" s="178">
        <f>(('Trip Calculation'!F59*'Other Factors'!$E$17)+('Trip Calculation'!G59*'Other Factors'!$F$17)+('Trip Calculation'!H59*'Other Factors'!$G$17))/60</f>
        <v>267599.46008333343</v>
      </c>
      <c r="P16" s="169">
        <f t="shared" si="4"/>
        <v>13858639.100000001</v>
      </c>
      <c r="Q16" s="179">
        <f t="shared" si="5"/>
        <v>526628285.80000007</v>
      </c>
      <c r="R16" s="180">
        <f t="shared" si="6"/>
        <v>109034.5378611112</v>
      </c>
    </row>
    <row r="17" spans="1:18" x14ac:dyDescent="0.25">
      <c r="A17" s="5">
        <v>2027</v>
      </c>
      <c r="B17" s="169">
        <f>'Trip Calculation'!E16</f>
        <v>109499.99999999999</v>
      </c>
      <c r="C17" s="170">
        <f>'Trip Calculation'!F16*'Other Factors'!$B$15</f>
        <v>3066000</v>
      </c>
      <c r="D17" s="170">
        <f>'Trip Calculation'!G16*'Other Factors'!$C$15</f>
        <v>6159375</v>
      </c>
      <c r="E17" s="171">
        <f>'Trip Calculation'!H16*'Other Factors'!$D$15</f>
        <v>3531375.0000000005</v>
      </c>
      <c r="F17" s="172">
        <f t="shared" si="3"/>
        <v>12756750</v>
      </c>
      <c r="G17" s="179">
        <f>F17*'Other Factors'!$B$8</f>
        <v>484756500</v>
      </c>
      <c r="H17" s="174">
        <f>(('Trip Calculation'!F16*'Other Factors'!$B$17)+('Trip Calculation'!G16*'Other Factors'!$C$17)+('Trip Calculation'!H16*'Other Factors'!$D$17))/60</f>
        <v>198206.15277777781</v>
      </c>
      <c r="I17" s="175">
        <f>'Trip Calculation'!E60</f>
        <v>105201.25000000001</v>
      </c>
      <c r="J17" s="179">
        <f>'Trip Calculation'!F60*'Other Factors'!$E$15</f>
        <v>9649085.25</v>
      </c>
      <c r="K17" s="179">
        <f>'Trip Calculation'!F60*'Other Factors'!$F$15</f>
        <v>15848345.625</v>
      </c>
      <c r="L17" s="176">
        <f>'Trip Calculation'!H60*'Other Factors'!$G$15</f>
        <v>4582617.9999999991</v>
      </c>
      <c r="M17" s="177">
        <f t="shared" si="2"/>
        <v>30080048.875</v>
      </c>
      <c r="N17" s="179">
        <f>M17*'Other Factors'!$B$8</f>
        <v>1143041857.25</v>
      </c>
      <c r="O17" s="178">
        <f>(('Trip Calculation'!F60*'Other Factors'!$E$17)+('Trip Calculation'!G60*'Other Factors'!$F$17)+('Trip Calculation'!H60*'Other Factors'!$G$17))/60</f>
        <v>334499.3251041667</v>
      </c>
      <c r="P17" s="169">
        <f t="shared" si="4"/>
        <v>17323298.875</v>
      </c>
      <c r="Q17" s="179">
        <f t="shared" si="5"/>
        <v>658285357.25</v>
      </c>
      <c r="R17" s="180">
        <f t="shared" si="6"/>
        <v>136293.17232638889</v>
      </c>
    </row>
    <row r="18" spans="1:18" x14ac:dyDescent="0.25">
      <c r="A18" s="5">
        <v>2028</v>
      </c>
      <c r="B18" s="169">
        <f>'Trip Calculation'!E17</f>
        <v>131399.99999999997</v>
      </c>
      <c r="C18" s="170">
        <f>'Trip Calculation'!F17*'Other Factors'!$B$15</f>
        <v>3679199.9999999995</v>
      </c>
      <c r="D18" s="170">
        <f>'Trip Calculation'!G17*'Other Factors'!$C$15</f>
        <v>7391250</v>
      </c>
      <c r="E18" s="171">
        <f>'Trip Calculation'!H17*'Other Factors'!$D$15</f>
        <v>4237650.0000000009</v>
      </c>
      <c r="F18" s="172">
        <f t="shared" si="3"/>
        <v>15308100</v>
      </c>
      <c r="G18" s="179">
        <f>F18*'Other Factors'!$B$8</f>
        <v>581707800</v>
      </c>
      <c r="H18" s="174">
        <f>(('Trip Calculation'!F17*'Other Factors'!$B$17)+('Trip Calculation'!G17*'Other Factors'!$C$17)+('Trip Calculation'!H17*'Other Factors'!$D$17))/60</f>
        <v>237847.38333333333</v>
      </c>
      <c r="I18" s="175">
        <f>'Trip Calculation'!E61</f>
        <v>126241.50000000001</v>
      </c>
      <c r="J18" s="179">
        <f>'Trip Calculation'!F61*'Other Factors'!$E$15</f>
        <v>11578902.299999999</v>
      </c>
      <c r="K18" s="179">
        <f>'Trip Calculation'!F61*'Other Factors'!$F$15</f>
        <v>19018014.75</v>
      </c>
      <c r="L18" s="176">
        <f>'Trip Calculation'!H61*'Other Factors'!$G$15</f>
        <v>5499141.5999999996</v>
      </c>
      <c r="M18" s="177">
        <f t="shared" si="2"/>
        <v>36096058.649999999</v>
      </c>
      <c r="N18" s="179">
        <f>M18*'Other Factors'!$B$8</f>
        <v>1371650228.7</v>
      </c>
      <c r="O18" s="178">
        <f>(('Trip Calculation'!F61*'Other Factors'!$E$17)+('Trip Calculation'!G61*'Other Factors'!$F$17)+('Trip Calculation'!H61*'Other Factors'!$G$17))/60</f>
        <v>401399.19012500002</v>
      </c>
      <c r="P18" s="169">
        <f t="shared" si="4"/>
        <v>20787958.649999999</v>
      </c>
      <c r="Q18" s="179">
        <f t="shared" si="5"/>
        <v>789942428.70000005</v>
      </c>
      <c r="R18" s="180">
        <f t="shared" si="6"/>
        <v>163551.80679166669</v>
      </c>
    </row>
    <row r="19" spans="1:18" x14ac:dyDescent="0.25">
      <c r="A19" s="5">
        <v>2029</v>
      </c>
      <c r="B19" s="169">
        <f>'Trip Calculation'!E18</f>
        <v>175199.99999999997</v>
      </c>
      <c r="C19" s="170">
        <f>'Trip Calculation'!F18*'Other Factors'!$B$15</f>
        <v>4905599.9999999991</v>
      </c>
      <c r="D19" s="170">
        <f>'Trip Calculation'!G18*'Other Factors'!$C$15</f>
        <v>9855000</v>
      </c>
      <c r="E19" s="171">
        <f>'Trip Calculation'!H18*'Other Factors'!$D$15</f>
        <v>5650200</v>
      </c>
      <c r="F19" s="172">
        <f t="shared" si="3"/>
        <v>20410800</v>
      </c>
      <c r="G19" s="179">
        <f>F19*'Other Factors'!$B$8</f>
        <v>775610400</v>
      </c>
      <c r="H19" s="174">
        <f>(('Trip Calculation'!F18*'Other Factors'!$B$17)+('Trip Calculation'!G18*'Other Factors'!$C$17)+('Trip Calculation'!H18*'Other Factors'!$D$17))/60</f>
        <v>317129.84444444446</v>
      </c>
      <c r="I19" s="175">
        <f>'Trip Calculation'!E62</f>
        <v>168322.00000000003</v>
      </c>
      <c r="J19" s="179">
        <f>'Trip Calculation'!F62*'Other Factors'!$E$15</f>
        <v>15438536.400000002</v>
      </c>
      <c r="K19" s="179">
        <f>'Trip Calculation'!F62*'Other Factors'!$F$15</f>
        <v>25357353.000000004</v>
      </c>
      <c r="L19" s="176">
        <f>'Trip Calculation'!H62*'Other Factors'!$G$15</f>
        <v>7332188.7999999989</v>
      </c>
      <c r="M19" s="177">
        <f t="shared" si="2"/>
        <v>48128078.200000003</v>
      </c>
      <c r="N19" s="179">
        <f>M19*'Other Factors'!$B$8</f>
        <v>1828866971.6000001</v>
      </c>
      <c r="O19" s="178">
        <f>(('Trip Calculation'!F62*'Other Factors'!$E$17)+('Trip Calculation'!G62*'Other Factors'!$F$17)+('Trip Calculation'!H62*'Other Factors'!$G$17))/60</f>
        <v>535198.92016666685</v>
      </c>
      <c r="P19" s="169">
        <f t="shared" si="4"/>
        <v>27717278.200000003</v>
      </c>
      <c r="Q19" s="179">
        <f t="shared" si="5"/>
        <v>1053256571.6000001</v>
      </c>
      <c r="R19" s="180">
        <f t="shared" si="6"/>
        <v>218069.07572222239</v>
      </c>
    </row>
    <row r="20" spans="1:18" x14ac:dyDescent="0.25">
      <c r="A20" s="5">
        <v>2030</v>
      </c>
      <c r="B20" s="169">
        <f>'Trip Calculation'!E19</f>
        <v>218999.99999999997</v>
      </c>
      <c r="C20" s="170">
        <f>'Trip Calculation'!F19*'Other Factors'!$B$15</f>
        <v>6132000</v>
      </c>
      <c r="D20" s="170">
        <f>'Trip Calculation'!G19*'Other Factors'!$C$15</f>
        <v>12318750</v>
      </c>
      <c r="E20" s="171">
        <f>'Trip Calculation'!H19*'Other Factors'!$D$15</f>
        <v>7062750.0000000009</v>
      </c>
      <c r="F20" s="172">
        <f t="shared" si="3"/>
        <v>25513500</v>
      </c>
      <c r="G20" s="179">
        <f>F20*'Other Factors'!$B$8</f>
        <v>969513000</v>
      </c>
      <c r="H20" s="174">
        <f>(('Trip Calculation'!F19*'Other Factors'!$B$17)+('Trip Calculation'!G19*'Other Factors'!$C$17)+('Trip Calculation'!H19*'Other Factors'!$D$17))/60</f>
        <v>396412.30555555562</v>
      </c>
      <c r="I20" s="175">
        <f>'Trip Calculation'!E63</f>
        <v>210402.50000000003</v>
      </c>
      <c r="J20" s="179">
        <f>'Trip Calculation'!F63*'Other Factors'!$E$15</f>
        <v>19298170.5</v>
      </c>
      <c r="K20" s="179">
        <f>'Trip Calculation'!F63*'Other Factors'!$F$15</f>
        <v>31696691.25</v>
      </c>
      <c r="L20" s="176">
        <f>'Trip Calculation'!H63*'Other Factors'!$G$15</f>
        <v>9165235.9999999981</v>
      </c>
      <c r="M20" s="177">
        <f t="shared" si="2"/>
        <v>60160097.75</v>
      </c>
      <c r="N20" s="179">
        <f>M20*'Other Factors'!$B$8</f>
        <v>2286083714.5</v>
      </c>
      <c r="O20" s="178">
        <f>(('Trip Calculation'!F63*'Other Factors'!$E$17)+('Trip Calculation'!G63*'Other Factors'!$F$17)+('Trip Calculation'!H63*'Other Factors'!$G$17))/60</f>
        <v>668998.65020833339</v>
      </c>
      <c r="P20" s="169">
        <f t="shared" si="4"/>
        <v>34646597.75</v>
      </c>
      <c r="Q20" s="179">
        <f t="shared" si="5"/>
        <v>1316570714.5</v>
      </c>
      <c r="R20" s="180">
        <f t="shared" si="6"/>
        <v>272586.34465277777</v>
      </c>
    </row>
    <row r="21" spans="1:18" x14ac:dyDescent="0.25">
      <c r="A21" s="5">
        <v>2031</v>
      </c>
      <c r="B21" s="169">
        <f>'Trip Calculation'!E20</f>
        <v>262799.99999999994</v>
      </c>
      <c r="C21" s="170">
        <f>'Trip Calculation'!F20*'Other Factors'!$B$15</f>
        <v>7358399.9999999991</v>
      </c>
      <c r="D21" s="170">
        <f>'Trip Calculation'!G20*'Other Factors'!$C$15</f>
        <v>14782500</v>
      </c>
      <c r="E21" s="171">
        <f>'Trip Calculation'!H20*'Other Factors'!$D$15</f>
        <v>8475300.0000000019</v>
      </c>
      <c r="F21" s="172">
        <f t="shared" si="3"/>
        <v>30616200</v>
      </c>
      <c r="G21" s="179">
        <f>F21*'Other Factors'!$B$8</f>
        <v>1163415600</v>
      </c>
      <c r="H21" s="174">
        <f>(('Trip Calculation'!F20*'Other Factors'!$B$17)+('Trip Calculation'!G20*'Other Factors'!$C$17)+('Trip Calculation'!H20*'Other Factors'!$D$17))/60</f>
        <v>475694.76666666666</v>
      </c>
      <c r="I21" s="175">
        <f>'Trip Calculation'!E64</f>
        <v>252483.00000000003</v>
      </c>
      <c r="J21" s="179">
        <f>'Trip Calculation'!F64*'Other Factors'!$E$15</f>
        <v>23157804.599999998</v>
      </c>
      <c r="K21" s="179">
        <f>'Trip Calculation'!F64*'Other Factors'!$F$15</f>
        <v>38036029.5</v>
      </c>
      <c r="L21" s="176">
        <f>'Trip Calculation'!H64*'Other Factors'!$G$15</f>
        <v>10998283.199999999</v>
      </c>
      <c r="M21" s="177">
        <f t="shared" si="2"/>
        <v>72192117.299999997</v>
      </c>
      <c r="N21" s="179">
        <f>M21*'Other Factors'!$B$8</f>
        <v>2743300457.4000001</v>
      </c>
      <c r="O21" s="178">
        <f>(('Trip Calculation'!F64*'Other Factors'!$E$17)+('Trip Calculation'!G64*'Other Factors'!$F$17)+('Trip Calculation'!H64*'Other Factors'!$G$17))/60</f>
        <v>802798.38025000005</v>
      </c>
      <c r="P21" s="169">
        <f t="shared" si="4"/>
        <v>41575917.299999997</v>
      </c>
      <c r="Q21" s="179">
        <f t="shared" si="5"/>
        <v>1579884857.4000001</v>
      </c>
      <c r="R21" s="180">
        <f t="shared" si="6"/>
        <v>327103.61358333338</v>
      </c>
    </row>
    <row r="22" spans="1:18" x14ac:dyDescent="0.25">
      <c r="A22" s="5">
        <v>2032</v>
      </c>
      <c r="B22" s="169">
        <f>'Trip Calculation'!E21</f>
        <v>319739.99999999994</v>
      </c>
      <c r="C22" s="170">
        <f>'Trip Calculation'!F21*'Other Factors'!$B$15</f>
        <v>8952719.9999999981</v>
      </c>
      <c r="D22" s="170">
        <f>'Trip Calculation'!G21*'Other Factors'!$C$15</f>
        <v>17985374.999999996</v>
      </c>
      <c r="E22" s="171">
        <f>'Trip Calculation'!H21*'Other Factors'!$D$15</f>
        <v>10311615.000000002</v>
      </c>
      <c r="F22" s="172">
        <f t="shared" si="3"/>
        <v>37249709.999999993</v>
      </c>
      <c r="G22" s="179">
        <f>F22*'Other Factors'!$B$8</f>
        <v>1415488979.9999998</v>
      </c>
      <c r="H22" s="174">
        <f>(('Trip Calculation'!F21*'Other Factors'!$B$17)+('Trip Calculation'!G21*'Other Factors'!$C$17)+('Trip Calculation'!H21*'Other Factors'!$D$17))/60</f>
        <v>578761.96611111111</v>
      </c>
      <c r="I22" s="175">
        <f>'Trip Calculation'!E65</f>
        <v>307187.65000000002</v>
      </c>
      <c r="J22" s="179">
        <f>'Trip Calculation'!F65*'Other Factors'!$E$15</f>
        <v>28175328.93</v>
      </c>
      <c r="K22" s="179">
        <f>'Trip Calculation'!F65*'Other Factors'!$F$15</f>
        <v>46277169.225000001</v>
      </c>
      <c r="L22" s="176">
        <f>'Trip Calculation'!H65*'Other Factors'!$G$15</f>
        <v>13381244.559999999</v>
      </c>
      <c r="M22" s="177">
        <f t="shared" si="2"/>
        <v>87833742.715000004</v>
      </c>
      <c r="N22" s="179">
        <f>M22*'Other Factors'!$B$8</f>
        <v>3337682223.1700001</v>
      </c>
      <c r="O22" s="178">
        <f>(('Trip Calculation'!F65*'Other Factors'!$E$17)+('Trip Calculation'!G65*'Other Factors'!$F$17)+('Trip Calculation'!H65*'Other Factors'!$G$17))/60</f>
        <v>976738.02930416679</v>
      </c>
      <c r="P22" s="169">
        <f t="shared" si="4"/>
        <v>50584032.715000011</v>
      </c>
      <c r="Q22" s="179">
        <f t="shared" si="5"/>
        <v>1922193243.1700003</v>
      </c>
      <c r="R22" s="180">
        <f t="shared" si="6"/>
        <v>397976.06319305568</v>
      </c>
    </row>
    <row r="23" spans="1:18" x14ac:dyDescent="0.25">
      <c r="A23" s="5">
        <v>2033</v>
      </c>
      <c r="B23" s="169">
        <f>'Trip Calculation'!E22</f>
        <v>319739.99999999994</v>
      </c>
      <c r="C23" s="170">
        <f>'Trip Calculation'!F22*'Other Factors'!$B$15</f>
        <v>8952719.9999999981</v>
      </c>
      <c r="D23" s="170">
        <f>'Trip Calculation'!G22*'Other Factors'!$C$15</f>
        <v>17985374.999999996</v>
      </c>
      <c r="E23" s="171">
        <f>'Trip Calculation'!H22*'Other Factors'!$D$15</f>
        <v>10311615.000000002</v>
      </c>
      <c r="F23" s="172">
        <f t="shared" si="3"/>
        <v>37249709.999999993</v>
      </c>
      <c r="G23" s="179">
        <f>F23*'Other Factors'!$B$8</f>
        <v>1415488979.9999998</v>
      </c>
      <c r="H23" s="174">
        <f>(('Trip Calculation'!F22*'Other Factors'!$B$17)+('Trip Calculation'!G22*'Other Factors'!$C$17)+('Trip Calculation'!H22*'Other Factors'!$D$17))/60</f>
        <v>578761.96611111111</v>
      </c>
      <c r="I23" s="175">
        <f>'Trip Calculation'!E66</f>
        <v>307187.65000000002</v>
      </c>
      <c r="J23" s="179">
        <f>'Trip Calculation'!F66*'Other Factors'!$E$15</f>
        <v>28175328.93</v>
      </c>
      <c r="K23" s="179">
        <f>'Trip Calculation'!F66*'Other Factors'!$F$15</f>
        <v>46277169.225000001</v>
      </c>
      <c r="L23" s="176">
        <f>'Trip Calculation'!H66*'Other Factors'!$G$15</f>
        <v>13381244.559999999</v>
      </c>
      <c r="M23" s="177">
        <f t="shared" si="2"/>
        <v>87833742.715000004</v>
      </c>
      <c r="N23" s="179">
        <f>M23*'Other Factors'!$B$8</f>
        <v>3337682223.1700001</v>
      </c>
      <c r="O23" s="178">
        <f>(('Trip Calculation'!F66*'Other Factors'!$E$17)+('Trip Calculation'!G66*'Other Factors'!$F$17)+('Trip Calculation'!H66*'Other Factors'!$G$17))/60</f>
        <v>976738.02930416679</v>
      </c>
      <c r="P23" s="169">
        <f t="shared" si="4"/>
        <v>50584032.715000011</v>
      </c>
      <c r="Q23" s="179">
        <f t="shared" si="5"/>
        <v>1922193243.1700003</v>
      </c>
      <c r="R23" s="180">
        <f t="shared" si="6"/>
        <v>397976.06319305568</v>
      </c>
    </row>
    <row r="24" spans="1:18" x14ac:dyDescent="0.25">
      <c r="A24" s="5">
        <v>2034</v>
      </c>
      <c r="B24" s="169">
        <f>'Trip Calculation'!E23</f>
        <v>319739.99999999994</v>
      </c>
      <c r="C24" s="170">
        <f>'Trip Calculation'!F23*'Other Factors'!$B$15</f>
        <v>8952719.9999999981</v>
      </c>
      <c r="D24" s="170">
        <f>'Trip Calculation'!G23*'Other Factors'!$C$15</f>
        <v>17985374.999999996</v>
      </c>
      <c r="E24" s="171">
        <f>'Trip Calculation'!H23*'Other Factors'!$D$15</f>
        <v>10311615.000000002</v>
      </c>
      <c r="F24" s="172">
        <f t="shared" si="3"/>
        <v>37249709.999999993</v>
      </c>
      <c r="G24" s="179">
        <f>F24*'Other Factors'!$B$8</f>
        <v>1415488979.9999998</v>
      </c>
      <c r="H24" s="174">
        <f>(('Trip Calculation'!F23*'Other Factors'!$B$17)+('Trip Calculation'!G23*'Other Factors'!$C$17)+('Trip Calculation'!H23*'Other Factors'!$D$17))/60</f>
        <v>578761.96611111111</v>
      </c>
      <c r="I24" s="175">
        <f>'Trip Calculation'!E67</f>
        <v>307187.65000000002</v>
      </c>
      <c r="J24" s="179">
        <f>'Trip Calculation'!F67*'Other Factors'!$E$15</f>
        <v>28175328.93</v>
      </c>
      <c r="K24" s="179">
        <f>'Trip Calculation'!F67*'Other Factors'!$F$15</f>
        <v>46277169.225000001</v>
      </c>
      <c r="L24" s="176">
        <f>'Trip Calculation'!H67*'Other Factors'!$G$15</f>
        <v>13381244.559999999</v>
      </c>
      <c r="M24" s="177">
        <f t="shared" si="2"/>
        <v>87833742.715000004</v>
      </c>
      <c r="N24" s="179">
        <f>M24*'Other Factors'!$B$8</f>
        <v>3337682223.1700001</v>
      </c>
      <c r="O24" s="178">
        <f>(('Trip Calculation'!F67*'Other Factors'!$E$17)+('Trip Calculation'!G67*'Other Factors'!$F$17)+('Trip Calculation'!H67*'Other Factors'!$G$17))/60</f>
        <v>976738.02930416679</v>
      </c>
      <c r="P24" s="169">
        <f t="shared" si="4"/>
        <v>50584032.715000011</v>
      </c>
      <c r="Q24" s="179">
        <f t="shared" si="5"/>
        <v>1922193243.1700003</v>
      </c>
      <c r="R24" s="180">
        <f t="shared" si="6"/>
        <v>397976.06319305568</v>
      </c>
    </row>
    <row r="25" spans="1:18" x14ac:dyDescent="0.25">
      <c r="A25" s="5">
        <v>2035</v>
      </c>
      <c r="B25" s="169">
        <f>'Trip Calculation'!E24</f>
        <v>319739.99999999994</v>
      </c>
      <c r="C25" s="170">
        <f>'Trip Calculation'!F24*'Other Factors'!$B$15</f>
        <v>8952719.9999999981</v>
      </c>
      <c r="D25" s="170">
        <f>'Trip Calculation'!G24*'Other Factors'!$C$15</f>
        <v>17985374.999999996</v>
      </c>
      <c r="E25" s="171">
        <f>'Trip Calculation'!H24*'Other Factors'!$D$15</f>
        <v>10311615.000000002</v>
      </c>
      <c r="F25" s="172">
        <f t="shared" si="3"/>
        <v>37249709.999999993</v>
      </c>
      <c r="G25" s="179">
        <f>F25*'Other Factors'!$B$8</f>
        <v>1415488979.9999998</v>
      </c>
      <c r="H25" s="174">
        <f>(('Trip Calculation'!F24*'Other Factors'!$B$17)+('Trip Calculation'!G24*'Other Factors'!$C$17)+('Trip Calculation'!H24*'Other Factors'!$D$17))/60</f>
        <v>578761.96611111111</v>
      </c>
      <c r="I25" s="175">
        <f>'Trip Calculation'!E68</f>
        <v>307187.65000000002</v>
      </c>
      <c r="J25" s="179">
        <f>'Trip Calculation'!F68*'Other Factors'!$E$15</f>
        <v>28175328.93</v>
      </c>
      <c r="K25" s="179">
        <f>'Trip Calculation'!F68*'Other Factors'!$F$15</f>
        <v>46277169.225000001</v>
      </c>
      <c r="L25" s="176">
        <f>'Trip Calculation'!H68*'Other Factors'!$G$15</f>
        <v>13381244.559999999</v>
      </c>
      <c r="M25" s="177">
        <f t="shared" si="2"/>
        <v>87833742.715000004</v>
      </c>
      <c r="N25" s="179">
        <f>M25*'Other Factors'!$B$8</f>
        <v>3337682223.1700001</v>
      </c>
      <c r="O25" s="178">
        <f>(('Trip Calculation'!F68*'Other Factors'!$E$17)+('Trip Calculation'!G68*'Other Factors'!$F$17)+('Trip Calculation'!H68*'Other Factors'!$G$17))/60</f>
        <v>976738.02930416679</v>
      </c>
      <c r="P25" s="169">
        <f t="shared" si="4"/>
        <v>50584032.715000011</v>
      </c>
      <c r="Q25" s="179">
        <f t="shared" si="5"/>
        <v>1922193243.1700003</v>
      </c>
      <c r="R25" s="180">
        <f t="shared" si="6"/>
        <v>397976.06319305568</v>
      </c>
    </row>
    <row r="26" spans="1:18" x14ac:dyDescent="0.25">
      <c r="A26" s="5">
        <v>2036</v>
      </c>
      <c r="B26" s="169">
        <f>'Trip Calculation'!E25</f>
        <v>319739.99999999994</v>
      </c>
      <c r="C26" s="170">
        <f>'Trip Calculation'!F25*'Other Factors'!$B$15</f>
        <v>8952719.9999999981</v>
      </c>
      <c r="D26" s="170">
        <f>'Trip Calculation'!G25*'Other Factors'!$C$15</f>
        <v>17985374.999999996</v>
      </c>
      <c r="E26" s="171">
        <f>'Trip Calculation'!H25*'Other Factors'!$D$15</f>
        <v>10311615.000000002</v>
      </c>
      <c r="F26" s="172">
        <f t="shared" si="3"/>
        <v>37249709.999999993</v>
      </c>
      <c r="G26" s="179">
        <f>F26*'Other Factors'!$B$8</f>
        <v>1415488979.9999998</v>
      </c>
      <c r="H26" s="174">
        <f>(('Trip Calculation'!F25*'Other Factors'!$B$17)+('Trip Calculation'!G25*'Other Factors'!$C$17)+('Trip Calculation'!H25*'Other Factors'!$D$17))/60</f>
        <v>578761.96611111111</v>
      </c>
      <c r="I26" s="175">
        <f>'Trip Calculation'!E69</f>
        <v>307187.65000000002</v>
      </c>
      <c r="J26" s="179">
        <f>'Trip Calculation'!F69*'Other Factors'!$E$15</f>
        <v>28175328.93</v>
      </c>
      <c r="K26" s="179">
        <f>'Trip Calculation'!F69*'Other Factors'!$F$15</f>
        <v>46277169.225000001</v>
      </c>
      <c r="L26" s="176">
        <f>'Trip Calculation'!H69*'Other Factors'!$G$15</f>
        <v>13381244.559999999</v>
      </c>
      <c r="M26" s="177">
        <f t="shared" si="2"/>
        <v>87833742.715000004</v>
      </c>
      <c r="N26" s="179">
        <f>M26*'Other Factors'!$B$8</f>
        <v>3337682223.1700001</v>
      </c>
      <c r="O26" s="178">
        <f>(('Trip Calculation'!F69*'Other Factors'!$E$17)+('Trip Calculation'!G69*'Other Factors'!$F$17)+('Trip Calculation'!H69*'Other Factors'!$G$17))/60</f>
        <v>976738.02930416679</v>
      </c>
      <c r="P26" s="169">
        <f t="shared" si="4"/>
        <v>50584032.715000011</v>
      </c>
      <c r="Q26" s="179">
        <f t="shared" si="5"/>
        <v>1922193243.1700003</v>
      </c>
      <c r="R26" s="180">
        <f t="shared" si="6"/>
        <v>397976.06319305568</v>
      </c>
    </row>
    <row r="27" spans="1:18" x14ac:dyDescent="0.25">
      <c r="A27" s="5">
        <v>2037</v>
      </c>
      <c r="B27" s="169">
        <f>'Trip Calculation'!E26</f>
        <v>319739.99999999994</v>
      </c>
      <c r="C27" s="170">
        <f>'Trip Calculation'!F26*'Other Factors'!$B$15</f>
        <v>8952719.9999999981</v>
      </c>
      <c r="D27" s="170">
        <f>'Trip Calculation'!G26*'Other Factors'!$C$15</f>
        <v>17985374.999999996</v>
      </c>
      <c r="E27" s="171">
        <f>'Trip Calculation'!H26*'Other Factors'!$D$15</f>
        <v>10311615.000000002</v>
      </c>
      <c r="F27" s="172">
        <f t="shared" si="3"/>
        <v>37249709.999999993</v>
      </c>
      <c r="G27" s="179">
        <f>F27*'Other Factors'!$B$8</f>
        <v>1415488979.9999998</v>
      </c>
      <c r="H27" s="174">
        <f>(('Trip Calculation'!F26*'Other Factors'!$B$17)+('Trip Calculation'!G26*'Other Factors'!$C$17)+('Trip Calculation'!H26*'Other Factors'!$D$17))/60</f>
        <v>578761.96611111111</v>
      </c>
      <c r="I27" s="175">
        <f>'Trip Calculation'!E70</f>
        <v>307187.65000000002</v>
      </c>
      <c r="J27" s="179">
        <f>'Trip Calculation'!F70*'Other Factors'!$E$15</f>
        <v>28175328.93</v>
      </c>
      <c r="K27" s="179">
        <f>'Trip Calculation'!F70*'Other Factors'!$F$15</f>
        <v>46277169.225000001</v>
      </c>
      <c r="L27" s="176">
        <f>'Trip Calculation'!H70*'Other Factors'!$G$15</f>
        <v>13381244.559999999</v>
      </c>
      <c r="M27" s="177">
        <f t="shared" si="2"/>
        <v>87833742.715000004</v>
      </c>
      <c r="N27" s="179">
        <f>M27*'Other Factors'!$B$8</f>
        <v>3337682223.1700001</v>
      </c>
      <c r="O27" s="178">
        <f>(('Trip Calculation'!F70*'Other Factors'!$E$17)+('Trip Calculation'!G70*'Other Factors'!$F$17)+('Trip Calculation'!H70*'Other Factors'!$G$17))/60</f>
        <v>976738.02930416679</v>
      </c>
      <c r="P27" s="169">
        <f t="shared" si="4"/>
        <v>50584032.715000011</v>
      </c>
      <c r="Q27" s="179">
        <f t="shared" si="5"/>
        <v>1922193243.1700003</v>
      </c>
      <c r="R27" s="180">
        <f t="shared" si="6"/>
        <v>397976.06319305568</v>
      </c>
    </row>
    <row r="28" spans="1:18" x14ac:dyDescent="0.25">
      <c r="A28" s="5">
        <v>2038</v>
      </c>
      <c r="B28" s="169">
        <f>'Trip Calculation'!E27</f>
        <v>319739.99999999994</v>
      </c>
      <c r="C28" s="170">
        <f>'Trip Calculation'!F27*'Other Factors'!$B$15</f>
        <v>8952719.9999999981</v>
      </c>
      <c r="D28" s="170">
        <f>'Trip Calculation'!G27*'Other Factors'!$C$15</f>
        <v>17985374.999999996</v>
      </c>
      <c r="E28" s="171">
        <f>'Trip Calculation'!H27*'Other Factors'!$D$15</f>
        <v>10311615.000000002</v>
      </c>
      <c r="F28" s="172">
        <f t="shared" si="3"/>
        <v>37249709.999999993</v>
      </c>
      <c r="G28" s="179">
        <f>F28*'Other Factors'!$B$8</f>
        <v>1415488979.9999998</v>
      </c>
      <c r="H28" s="174">
        <f>(('Trip Calculation'!F27*'Other Factors'!$B$17)+('Trip Calculation'!G27*'Other Factors'!$C$17)+('Trip Calculation'!H27*'Other Factors'!$D$17))/60</f>
        <v>578761.96611111111</v>
      </c>
      <c r="I28" s="175">
        <f>'Trip Calculation'!E71</f>
        <v>307187.65000000002</v>
      </c>
      <c r="J28" s="179">
        <f>'Trip Calculation'!F71*'Other Factors'!$E$15</f>
        <v>28175328.93</v>
      </c>
      <c r="K28" s="179">
        <f>'Trip Calculation'!F71*'Other Factors'!$F$15</f>
        <v>46277169.225000001</v>
      </c>
      <c r="L28" s="176">
        <f>'Trip Calculation'!H71*'Other Factors'!$G$15</f>
        <v>13381244.559999999</v>
      </c>
      <c r="M28" s="177">
        <f t="shared" si="2"/>
        <v>87833742.715000004</v>
      </c>
      <c r="N28" s="179">
        <f>M28*'Other Factors'!$B$8</f>
        <v>3337682223.1700001</v>
      </c>
      <c r="O28" s="178">
        <f>(('Trip Calculation'!F71*'Other Factors'!$E$17)+('Trip Calculation'!G71*'Other Factors'!$F$17)+('Trip Calculation'!H71*'Other Factors'!$G$17))/60</f>
        <v>976738.02930416679</v>
      </c>
      <c r="P28" s="169">
        <f t="shared" si="4"/>
        <v>50584032.715000011</v>
      </c>
      <c r="Q28" s="179">
        <f t="shared" si="5"/>
        <v>1922193243.1700003</v>
      </c>
      <c r="R28" s="180">
        <f t="shared" si="6"/>
        <v>397976.06319305568</v>
      </c>
    </row>
    <row r="29" spans="1:18" x14ac:dyDescent="0.25">
      <c r="A29" s="5">
        <v>2039</v>
      </c>
      <c r="B29" s="169">
        <f>'Trip Calculation'!E28</f>
        <v>319739.99999999994</v>
      </c>
      <c r="C29" s="170">
        <f>'Trip Calculation'!F28*'Other Factors'!$B$15</f>
        <v>8952719.9999999981</v>
      </c>
      <c r="D29" s="170">
        <f>'Trip Calculation'!G28*'Other Factors'!$C$15</f>
        <v>17985374.999999996</v>
      </c>
      <c r="E29" s="171">
        <f>'Trip Calculation'!H28*'Other Factors'!$D$15</f>
        <v>10311615.000000002</v>
      </c>
      <c r="F29" s="172">
        <f t="shared" si="3"/>
        <v>37249709.999999993</v>
      </c>
      <c r="G29" s="179">
        <f>F29*'Other Factors'!$B$8</f>
        <v>1415488979.9999998</v>
      </c>
      <c r="H29" s="174">
        <f>(('Trip Calculation'!F28*'Other Factors'!$B$17)+('Trip Calculation'!G28*'Other Factors'!$C$17)+('Trip Calculation'!H28*'Other Factors'!$D$17))/60</f>
        <v>578761.96611111111</v>
      </c>
      <c r="I29" s="175">
        <f>'Trip Calculation'!E72</f>
        <v>307187.65000000002</v>
      </c>
      <c r="J29" s="179">
        <f>'Trip Calculation'!F72*'Other Factors'!$E$15</f>
        <v>28175328.93</v>
      </c>
      <c r="K29" s="179">
        <f>'Trip Calculation'!F72*'Other Factors'!$F$15</f>
        <v>46277169.225000001</v>
      </c>
      <c r="L29" s="176">
        <f>'Trip Calculation'!H72*'Other Factors'!$G$15</f>
        <v>13381244.559999999</v>
      </c>
      <c r="M29" s="177">
        <f t="shared" si="2"/>
        <v>87833742.715000004</v>
      </c>
      <c r="N29" s="179">
        <f>M29*'Other Factors'!$B$8</f>
        <v>3337682223.1700001</v>
      </c>
      <c r="O29" s="178">
        <f>(('Trip Calculation'!F72*'Other Factors'!$E$17)+('Trip Calculation'!G72*'Other Factors'!$F$17)+('Trip Calculation'!H72*'Other Factors'!$G$17))/60</f>
        <v>976738.02930416679</v>
      </c>
      <c r="P29" s="169">
        <f t="shared" si="4"/>
        <v>50584032.715000011</v>
      </c>
      <c r="Q29" s="179">
        <f t="shared" si="5"/>
        <v>1922193243.1700003</v>
      </c>
      <c r="R29" s="180">
        <f t="shared" si="6"/>
        <v>397976.06319305568</v>
      </c>
    </row>
    <row r="30" spans="1:18" x14ac:dyDescent="0.25">
      <c r="A30" s="5">
        <v>2040</v>
      </c>
      <c r="B30" s="169">
        <f>'Trip Calculation'!E29</f>
        <v>319739.99999999994</v>
      </c>
      <c r="C30" s="170">
        <f>'Trip Calculation'!F29*'Other Factors'!$B$15</f>
        <v>8952719.9999999981</v>
      </c>
      <c r="D30" s="170">
        <f>'Trip Calculation'!G29*'Other Factors'!$C$15</f>
        <v>17985374.999999996</v>
      </c>
      <c r="E30" s="171">
        <f>'Trip Calculation'!H29*'Other Factors'!$D$15</f>
        <v>10311615.000000002</v>
      </c>
      <c r="F30" s="172">
        <f t="shared" si="3"/>
        <v>37249709.999999993</v>
      </c>
      <c r="G30" s="179">
        <f>F30*'Other Factors'!$B$8</f>
        <v>1415488979.9999998</v>
      </c>
      <c r="H30" s="174">
        <f>(('Trip Calculation'!F29*'Other Factors'!$B$17)+('Trip Calculation'!G29*'Other Factors'!$C$17)+('Trip Calculation'!H29*'Other Factors'!$D$17))/60</f>
        <v>578761.96611111111</v>
      </c>
      <c r="I30" s="175">
        <f>'Trip Calculation'!E73</f>
        <v>307187.65000000002</v>
      </c>
      <c r="J30" s="179">
        <f>'Trip Calculation'!F73*'Other Factors'!$E$15</f>
        <v>28175328.93</v>
      </c>
      <c r="K30" s="179">
        <f>'Trip Calculation'!F73*'Other Factors'!$F$15</f>
        <v>46277169.225000001</v>
      </c>
      <c r="L30" s="176">
        <f>'Trip Calculation'!H73*'Other Factors'!$G$15</f>
        <v>13381244.559999999</v>
      </c>
      <c r="M30" s="177">
        <f t="shared" si="2"/>
        <v>87833742.715000004</v>
      </c>
      <c r="N30" s="179">
        <f>M30*'Other Factors'!$B$8</f>
        <v>3337682223.1700001</v>
      </c>
      <c r="O30" s="178">
        <f>(('Trip Calculation'!F73*'Other Factors'!$E$17)+('Trip Calculation'!G73*'Other Factors'!$F$17)+('Trip Calculation'!H73*'Other Factors'!$G$17))/60</f>
        <v>976738.02930416679</v>
      </c>
      <c r="P30" s="169">
        <f t="shared" si="4"/>
        <v>50584032.715000011</v>
      </c>
      <c r="Q30" s="179">
        <f t="shared" si="5"/>
        <v>1922193243.1700003</v>
      </c>
      <c r="R30" s="180">
        <f t="shared" si="6"/>
        <v>397976.06319305568</v>
      </c>
    </row>
    <row r="31" spans="1:18" x14ac:dyDescent="0.25">
      <c r="A31" s="5">
        <v>2041</v>
      </c>
      <c r="B31" s="169">
        <f>'Trip Calculation'!E30</f>
        <v>319739.99999999994</v>
      </c>
      <c r="C31" s="170">
        <f>'Trip Calculation'!F30*'Other Factors'!$B$15</f>
        <v>8952719.9999999981</v>
      </c>
      <c r="D31" s="170">
        <f>'Trip Calculation'!G30*'Other Factors'!$C$15</f>
        <v>17985374.999999996</v>
      </c>
      <c r="E31" s="171">
        <f>'Trip Calculation'!H30*'Other Factors'!$D$15</f>
        <v>10311615.000000002</v>
      </c>
      <c r="F31" s="172">
        <f t="shared" si="3"/>
        <v>37249709.999999993</v>
      </c>
      <c r="G31" s="179">
        <f>F31*'Other Factors'!$B$8</f>
        <v>1415488979.9999998</v>
      </c>
      <c r="H31" s="174">
        <f>(('Trip Calculation'!F30*'Other Factors'!$B$17)+('Trip Calculation'!G30*'Other Factors'!$C$17)+('Trip Calculation'!H30*'Other Factors'!$D$17))/60</f>
        <v>578761.96611111111</v>
      </c>
      <c r="I31" s="175">
        <f>'Trip Calculation'!E74</f>
        <v>307187.65000000002</v>
      </c>
      <c r="J31" s="179">
        <f>'Trip Calculation'!F74*'Other Factors'!$E$15</f>
        <v>28175328.93</v>
      </c>
      <c r="K31" s="179">
        <f>'Trip Calculation'!F74*'Other Factors'!$F$15</f>
        <v>46277169.225000001</v>
      </c>
      <c r="L31" s="176">
        <f>'Trip Calculation'!H74*'Other Factors'!$G$15</f>
        <v>13381244.559999999</v>
      </c>
      <c r="M31" s="177">
        <f t="shared" si="2"/>
        <v>87833742.715000004</v>
      </c>
      <c r="N31" s="179">
        <f>M31*'Other Factors'!$B$8</f>
        <v>3337682223.1700001</v>
      </c>
      <c r="O31" s="178">
        <f>(('Trip Calculation'!F74*'Other Factors'!$E$17)+('Trip Calculation'!G74*'Other Factors'!$F$17)+('Trip Calculation'!H74*'Other Factors'!$G$17))/60</f>
        <v>976738.02930416679</v>
      </c>
      <c r="P31" s="169">
        <f t="shared" si="4"/>
        <v>50584032.715000011</v>
      </c>
      <c r="Q31" s="179">
        <f t="shared" si="5"/>
        <v>1922193243.1700003</v>
      </c>
      <c r="R31" s="180">
        <f t="shared" si="6"/>
        <v>397976.06319305568</v>
      </c>
    </row>
    <row r="32" spans="1:18" x14ac:dyDescent="0.25">
      <c r="A32" s="5">
        <v>2042</v>
      </c>
      <c r="B32" s="169">
        <f>'Trip Calculation'!E31</f>
        <v>319739.99999999994</v>
      </c>
      <c r="C32" s="170">
        <f>'Trip Calculation'!F31*'Other Factors'!$B$15</f>
        <v>8952719.9999999981</v>
      </c>
      <c r="D32" s="170">
        <f>'Trip Calculation'!G31*'Other Factors'!$C$15</f>
        <v>17985374.999999996</v>
      </c>
      <c r="E32" s="171">
        <f>'Trip Calculation'!H31*'Other Factors'!$D$15</f>
        <v>10311615.000000002</v>
      </c>
      <c r="F32" s="172">
        <f t="shared" si="3"/>
        <v>37249709.999999993</v>
      </c>
      <c r="G32" s="179">
        <f>F32*'Other Factors'!$B$8</f>
        <v>1415488979.9999998</v>
      </c>
      <c r="H32" s="174">
        <f>(('Trip Calculation'!F31*'Other Factors'!$B$17)+('Trip Calculation'!G31*'Other Factors'!$C$17)+('Trip Calculation'!H31*'Other Factors'!$D$17))/60</f>
        <v>578761.96611111111</v>
      </c>
      <c r="I32" s="175">
        <f>'Trip Calculation'!E75</f>
        <v>307187.65000000002</v>
      </c>
      <c r="J32" s="179">
        <f>'Trip Calculation'!F75*'Other Factors'!$E$15</f>
        <v>28175328.93</v>
      </c>
      <c r="K32" s="179">
        <f>'Trip Calculation'!F75*'Other Factors'!$F$15</f>
        <v>46277169.225000001</v>
      </c>
      <c r="L32" s="176">
        <f>'Trip Calculation'!H75*'Other Factors'!$G$15</f>
        <v>13381244.559999999</v>
      </c>
      <c r="M32" s="177">
        <f t="shared" si="2"/>
        <v>87833742.715000004</v>
      </c>
      <c r="N32" s="179">
        <f>M32*'Other Factors'!$B$8</f>
        <v>3337682223.1700001</v>
      </c>
      <c r="O32" s="178">
        <f>(('Trip Calculation'!F75*'Other Factors'!$E$17)+('Trip Calculation'!G75*'Other Factors'!$F$17)+('Trip Calculation'!H75*'Other Factors'!$G$17))/60</f>
        <v>976738.02930416679</v>
      </c>
      <c r="P32" s="169">
        <f t="shared" si="4"/>
        <v>50584032.715000011</v>
      </c>
      <c r="Q32" s="179">
        <f t="shared" si="5"/>
        <v>1922193243.1700003</v>
      </c>
      <c r="R32" s="180">
        <f t="shared" si="6"/>
        <v>397976.06319305568</v>
      </c>
    </row>
    <row r="33" spans="1:18" x14ac:dyDescent="0.25">
      <c r="A33" s="5">
        <v>2043</v>
      </c>
      <c r="B33" s="169">
        <f>'Trip Calculation'!E32</f>
        <v>319739.99999999994</v>
      </c>
      <c r="C33" s="170">
        <f>'Trip Calculation'!F32*'Other Factors'!$B$15</f>
        <v>8952719.9999999981</v>
      </c>
      <c r="D33" s="170">
        <f>'Trip Calculation'!G32*'Other Factors'!$C$15</f>
        <v>17985374.999999996</v>
      </c>
      <c r="E33" s="171">
        <f>'Trip Calculation'!H32*'Other Factors'!$D$15</f>
        <v>10311615.000000002</v>
      </c>
      <c r="F33" s="172">
        <f t="shared" si="3"/>
        <v>37249709.999999993</v>
      </c>
      <c r="G33" s="179">
        <f>F33*'Other Factors'!$B$8</f>
        <v>1415488979.9999998</v>
      </c>
      <c r="H33" s="174">
        <f>(('Trip Calculation'!F32*'Other Factors'!$B$17)+('Trip Calculation'!G32*'Other Factors'!$C$17)+('Trip Calculation'!H32*'Other Factors'!$D$17))/60</f>
        <v>578761.96611111111</v>
      </c>
      <c r="I33" s="175">
        <f>'Trip Calculation'!E76</f>
        <v>307187.65000000002</v>
      </c>
      <c r="J33" s="179">
        <f>'Trip Calculation'!F76*'Other Factors'!$E$15</f>
        <v>28175328.93</v>
      </c>
      <c r="K33" s="179">
        <f>'Trip Calculation'!F76*'Other Factors'!$F$15</f>
        <v>46277169.225000001</v>
      </c>
      <c r="L33" s="176">
        <f>'Trip Calculation'!H76*'Other Factors'!$G$15</f>
        <v>13381244.559999999</v>
      </c>
      <c r="M33" s="177">
        <f t="shared" si="2"/>
        <v>87833742.715000004</v>
      </c>
      <c r="N33" s="179">
        <f>M33*'Other Factors'!$B$8</f>
        <v>3337682223.1700001</v>
      </c>
      <c r="O33" s="178">
        <f>(('Trip Calculation'!F76*'Other Factors'!$E$17)+('Trip Calculation'!G76*'Other Factors'!$F$17)+('Trip Calculation'!H76*'Other Factors'!$G$17))/60</f>
        <v>976738.02930416679</v>
      </c>
      <c r="P33" s="169">
        <f t="shared" si="4"/>
        <v>50584032.715000011</v>
      </c>
      <c r="Q33" s="179">
        <f t="shared" si="5"/>
        <v>1922193243.1700003</v>
      </c>
      <c r="R33" s="180">
        <f t="shared" si="6"/>
        <v>397976.06319305568</v>
      </c>
    </row>
    <row r="34" spans="1:18" x14ac:dyDescent="0.25">
      <c r="A34" s="5">
        <v>2044</v>
      </c>
      <c r="B34" s="169">
        <f>'Trip Calculation'!E33</f>
        <v>319739.99999999994</v>
      </c>
      <c r="C34" s="170">
        <f>'Trip Calculation'!F33*'Other Factors'!$B$15</f>
        <v>8952719.9999999981</v>
      </c>
      <c r="D34" s="170">
        <f>'Trip Calculation'!G33*'Other Factors'!$C$15</f>
        <v>17985374.999999996</v>
      </c>
      <c r="E34" s="171">
        <f>'Trip Calculation'!H33*'Other Factors'!$D$15</f>
        <v>10311615.000000002</v>
      </c>
      <c r="F34" s="172">
        <f t="shared" si="3"/>
        <v>37249709.999999993</v>
      </c>
      <c r="G34" s="179">
        <f>F34*'Other Factors'!$B$8</f>
        <v>1415488979.9999998</v>
      </c>
      <c r="H34" s="174">
        <f>(('Trip Calculation'!F33*'Other Factors'!$B$17)+('Trip Calculation'!G33*'Other Factors'!$C$17)+('Trip Calculation'!H33*'Other Factors'!$D$17))/60</f>
        <v>578761.96611111111</v>
      </c>
      <c r="I34" s="175">
        <f>'Trip Calculation'!E77</f>
        <v>307187.65000000002</v>
      </c>
      <c r="J34" s="179">
        <f>'Trip Calculation'!F77*'Other Factors'!$E$15</f>
        <v>28175328.93</v>
      </c>
      <c r="K34" s="179">
        <f>'Trip Calculation'!F77*'Other Factors'!$F$15</f>
        <v>46277169.225000001</v>
      </c>
      <c r="L34" s="176">
        <f>'Trip Calculation'!H77*'Other Factors'!$G$15</f>
        <v>13381244.559999999</v>
      </c>
      <c r="M34" s="177">
        <f t="shared" si="2"/>
        <v>87833742.715000004</v>
      </c>
      <c r="N34" s="179">
        <f>M34*'Other Factors'!$B$8</f>
        <v>3337682223.1700001</v>
      </c>
      <c r="O34" s="178">
        <f>(('Trip Calculation'!F77*'Other Factors'!$E$17)+('Trip Calculation'!G77*'Other Factors'!$F$17)+('Trip Calculation'!H77*'Other Factors'!$G$17))/60</f>
        <v>976738.02930416679</v>
      </c>
      <c r="P34" s="175">
        <f t="shared" si="4"/>
        <v>50584032.715000011</v>
      </c>
      <c r="Q34" s="179">
        <f t="shared" si="5"/>
        <v>1922193243.1700003</v>
      </c>
      <c r="R34" s="180">
        <f t="shared" si="6"/>
        <v>397976.06319305568</v>
      </c>
    </row>
    <row r="35" spans="1:18" x14ac:dyDescent="0.25">
      <c r="A35" s="5">
        <v>2045</v>
      </c>
      <c r="B35" s="169">
        <f>'Trip Calculation'!E34</f>
        <v>319739.99999999994</v>
      </c>
      <c r="C35" s="170">
        <f>'Trip Calculation'!F34*'Other Factors'!$B$15</f>
        <v>8952719.9999999981</v>
      </c>
      <c r="D35" s="170">
        <f>'Trip Calculation'!G34*'Other Factors'!$C$15</f>
        <v>17985374.999999996</v>
      </c>
      <c r="E35" s="171">
        <f>'Trip Calculation'!H34*'Other Factors'!$D$15</f>
        <v>10311615.000000002</v>
      </c>
      <c r="F35" s="172">
        <f t="shared" si="3"/>
        <v>37249709.999999993</v>
      </c>
      <c r="G35" s="179">
        <f>F35*'Other Factors'!$B$8</f>
        <v>1415488979.9999998</v>
      </c>
      <c r="H35" s="174">
        <f>(('Trip Calculation'!F34*'Other Factors'!$B$17)+('Trip Calculation'!G34*'Other Factors'!$C$17)+('Trip Calculation'!H34*'Other Factors'!$D$17))/60</f>
        <v>578761.96611111111</v>
      </c>
      <c r="I35" s="175">
        <f>'Trip Calculation'!E78</f>
        <v>307187.65000000002</v>
      </c>
      <c r="J35" s="179">
        <f>'Trip Calculation'!F78*'Other Factors'!$E$15</f>
        <v>28175328.93</v>
      </c>
      <c r="K35" s="179">
        <f>'Trip Calculation'!F78*'Other Factors'!$F$15</f>
        <v>46277169.225000001</v>
      </c>
      <c r="L35" s="176">
        <f>'Trip Calculation'!H78*'Other Factors'!$G$15</f>
        <v>13381244.559999999</v>
      </c>
      <c r="M35" s="177">
        <f t="shared" si="2"/>
        <v>87833742.715000004</v>
      </c>
      <c r="N35" s="179">
        <f>M35*'Other Factors'!$B$8</f>
        <v>3337682223.1700001</v>
      </c>
      <c r="O35" s="178">
        <f>(('Trip Calculation'!F78*'Other Factors'!$E$17)+('Trip Calculation'!G78*'Other Factors'!$F$17)+('Trip Calculation'!H78*'Other Factors'!$G$17))/60</f>
        <v>976738.02930416679</v>
      </c>
      <c r="P35" s="175">
        <f t="shared" si="4"/>
        <v>50584032.715000011</v>
      </c>
      <c r="Q35" s="179">
        <f t="shared" si="5"/>
        <v>1922193243.1700003</v>
      </c>
      <c r="R35" s="180">
        <f t="shared" si="6"/>
        <v>397976.06319305568</v>
      </c>
    </row>
    <row r="36" spans="1:18" x14ac:dyDescent="0.25">
      <c r="A36" s="5">
        <v>2046</v>
      </c>
      <c r="B36" s="169">
        <f>'Trip Calculation'!E35</f>
        <v>319739.99999999994</v>
      </c>
      <c r="C36" s="170">
        <f>'Trip Calculation'!F35*'Other Factors'!$B$15</f>
        <v>8952719.9999999981</v>
      </c>
      <c r="D36" s="170">
        <f>'Trip Calculation'!G35*'Other Factors'!$C$15</f>
        <v>17985374.999999996</v>
      </c>
      <c r="E36" s="171">
        <f>'Trip Calculation'!H35*'Other Factors'!$D$15</f>
        <v>10311615.000000002</v>
      </c>
      <c r="F36" s="172">
        <f t="shared" si="3"/>
        <v>37249709.999999993</v>
      </c>
      <c r="G36" s="179">
        <f>F36*'Other Factors'!$B$8</f>
        <v>1415488979.9999998</v>
      </c>
      <c r="H36" s="174">
        <f>(('Trip Calculation'!F35*'Other Factors'!$B$17)+('Trip Calculation'!G35*'Other Factors'!$C$17)+('Trip Calculation'!H35*'Other Factors'!$D$17))/60</f>
        <v>578761.96611111111</v>
      </c>
      <c r="I36" s="175">
        <f>'Trip Calculation'!E79</f>
        <v>307187.65000000002</v>
      </c>
      <c r="J36" s="179">
        <f>'Trip Calculation'!F79*'Other Factors'!$E$15</f>
        <v>28175328.93</v>
      </c>
      <c r="K36" s="179">
        <f>'Trip Calculation'!F79*'Other Factors'!$F$15</f>
        <v>46277169.225000001</v>
      </c>
      <c r="L36" s="176">
        <f>'Trip Calculation'!H79*'Other Factors'!$G$15</f>
        <v>13381244.559999999</v>
      </c>
      <c r="M36" s="177">
        <f t="shared" si="2"/>
        <v>87833742.715000004</v>
      </c>
      <c r="N36" s="179">
        <f>M36*'Other Factors'!$B$8</f>
        <v>3337682223.1700001</v>
      </c>
      <c r="O36" s="178">
        <f>(('Trip Calculation'!F79*'Other Factors'!$E$17)+('Trip Calculation'!G79*'Other Factors'!$F$17)+('Trip Calculation'!H79*'Other Factors'!$G$17))/60</f>
        <v>976738.02930416679</v>
      </c>
      <c r="P36" s="175">
        <f t="shared" si="4"/>
        <v>50584032.715000011</v>
      </c>
      <c r="Q36" s="179">
        <f t="shared" si="5"/>
        <v>1922193243.1700003</v>
      </c>
      <c r="R36" s="180">
        <f t="shared" si="6"/>
        <v>397976.06319305568</v>
      </c>
    </row>
    <row r="37" spans="1:18" x14ac:dyDescent="0.25">
      <c r="A37" s="5">
        <v>2047</v>
      </c>
      <c r="B37" s="169">
        <f>'Trip Calculation'!E36</f>
        <v>319739.99999999994</v>
      </c>
      <c r="C37" s="170">
        <f>'Trip Calculation'!F36*'Other Factors'!$B$15</f>
        <v>8952719.9999999981</v>
      </c>
      <c r="D37" s="170">
        <f>'Trip Calculation'!G36*'Other Factors'!$C$15</f>
        <v>17985374.999999996</v>
      </c>
      <c r="E37" s="171">
        <f>'Trip Calculation'!H36*'Other Factors'!$D$15</f>
        <v>10311615.000000002</v>
      </c>
      <c r="F37" s="172">
        <f t="shared" si="3"/>
        <v>37249709.999999993</v>
      </c>
      <c r="G37" s="179">
        <f>F37*'Other Factors'!$B$8</f>
        <v>1415488979.9999998</v>
      </c>
      <c r="H37" s="174">
        <f>(('Trip Calculation'!F36*'Other Factors'!$B$17)+('Trip Calculation'!G36*'Other Factors'!$C$17)+('Trip Calculation'!H36*'Other Factors'!$D$17))/60</f>
        <v>578761.96611111111</v>
      </c>
      <c r="I37" s="175">
        <f>'Trip Calculation'!E80</f>
        <v>307187.65000000002</v>
      </c>
      <c r="J37" s="179">
        <f>'Trip Calculation'!F80*'Other Factors'!$E$15</f>
        <v>28175328.93</v>
      </c>
      <c r="K37" s="179">
        <f>'Trip Calculation'!F80*'Other Factors'!$F$15</f>
        <v>46277169.225000001</v>
      </c>
      <c r="L37" s="176">
        <f>'Trip Calculation'!H80*'Other Factors'!$G$15</f>
        <v>13381244.559999999</v>
      </c>
      <c r="M37" s="177">
        <f t="shared" si="2"/>
        <v>87833742.715000004</v>
      </c>
      <c r="N37" s="179">
        <f>M37*'Other Factors'!$B$8</f>
        <v>3337682223.1700001</v>
      </c>
      <c r="O37" s="178">
        <f>(('Trip Calculation'!F80*'Other Factors'!$E$17)+('Trip Calculation'!G80*'Other Factors'!$F$17)+('Trip Calculation'!H80*'Other Factors'!$G$17))/60</f>
        <v>976738.02930416679</v>
      </c>
      <c r="P37" s="175">
        <f t="shared" si="4"/>
        <v>50584032.715000011</v>
      </c>
      <c r="Q37" s="179">
        <f t="shared" si="5"/>
        <v>1922193243.1700003</v>
      </c>
      <c r="R37" s="180">
        <f t="shared" si="6"/>
        <v>397976.06319305568</v>
      </c>
    </row>
    <row r="38" spans="1:18" x14ac:dyDescent="0.25">
      <c r="A38" s="5">
        <v>2048</v>
      </c>
      <c r="B38" s="169">
        <f>'Trip Calculation'!E37</f>
        <v>319739.99999999994</v>
      </c>
      <c r="C38" s="170">
        <f>'Trip Calculation'!F37*'Other Factors'!$B$15</f>
        <v>8952719.9999999981</v>
      </c>
      <c r="D38" s="170">
        <f>'Trip Calculation'!G37*'Other Factors'!$C$15</f>
        <v>17985374.999999996</v>
      </c>
      <c r="E38" s="171">
        <f>'Trip Calculation'!H37*'Other Factors'!$D$15</f>
        <v>10311615.000000002</v>
      </c>
      <c r="F38" s="172">
        <f t="shared" ref="F38:F41" si="7">C38+D38+E38</f>
        <v>37249709.999999993</v>
      </c>
      <c r="G38" s="179">
        <f>F38*'Other Factors'!$B$8</f>
        <v>1415488979.9999998</v>
      </c>
      <c r="H38" s="174">
        <f>(('Trip Calculation'!F37*'Other Factors'!$B$17)+('Trip Calculation'!G37*'Other Factors'!$C$17)+('Trip Calculation'!H37*'Other Factors'!$D$17))/60</f>
        <v>578761.96611111111</v>
      </c>
      <c r="I38" s="175">
        <f>'Trip Calculation'!E81</f>
        <v>307187.65000000002</v>
      </c>
      <c r="J38" s="179">
        <f>'Trip Calculation'!F81*'Other Factors'!$E$15</f>
        <v>28175328.93</v>
      </c>
      <c r="K38" s="179">
        <f>'Trip Calculation'!F81*'Other Factors'!$F$15</f>
        <v>46277169.225000001</v>
      </c>
      <c r="L38" s="176">
        <f>'Trip Calculation'!H81*'Other Factors'!$G$15</f>
        <v>13381244.559999999</v>
      </c>
      <c r="M38" s="177">
        <f t="shared" ref="M38:M41" si="8">J38+K38+L38</f>
        <v>87833742.715000004</v>
      </c>
      <c r="N38" s="179">
        <f>M38*'Other Factors'!$B$8</f>
        <v>3337682223.1700001</v>
      </c>
      <c r="O38" s="178">
        <f>(('Trip Calculation'!F81*'Other Factors'!$E$17)+('Trip Calculation'!G81*'Other Factors'!$F$17)+('Trip Calculation'!H81*'Other Factors'!$G$17))/60</f>
        <v>976738.02930416679</v>
      </c>
      <c r="P38" s="175">
        <f t="shared" ref="P38:P41" si="9">M38-F38</f>
        <v>50584032.715000011</v>
      </c>
      <c r="Q38" s="179">
        <f t="shared" ref="Q38:Q41" si="10">N38-G38</f>
        <v>1922193243.1700003</v>
      </c>
      <c r="R38" s="180">
        <f t="shared" ref="R38:R41" si="11">O38-H38</f>
        <v>397976.06319305568</v>
      </c>
    </row>
    <row r="39" spans="1:18" x14ac:dyDescent="0.25">
      <c r="A39" s="5">
        <v>2049</v>
      </c>
      <c r="B39" s="169">
        <f>'Trip Calculation'!E38</f>
        <v>319739.99999999994</v>
      </c>
      <c r="C39" s="170">
        <f>'Trip Calculation'!F38*'Other Factors'!$B$15</f>
        <v>8952719.9999999981</v>
      </c>
      <c r="D39" s="170">
        <f>'Trip Calculation'!G38*'Other Factors'!$C$15</f>
        <v>17985374.999999996</v>
      </c>
      <c r="E39" s="171">
        <f>'Trip Calculation'!H38*'Other Factors'!$D$15</f>
        <v>10311615.000000002</v>
      </c>
      <c r="F39" s="172">
        <f t="shared" si="7"/>
        <v>37249709.999999993</v>
      </c>
      <c r="G39" s="179">
        <f>F39*'Other Factors'!$B$8</f>
        <v>1415488979.9999998</v>
      </c>
      <c r="H39" s="174">
        <f>(('Trip Calculation'!F38*'Other Factors'!$B$17)+('Trip Calculation'!G38*'Other Factors'!$C$17)+('Trip Calculation'!H38*'Other Factors'!$D$17))/60</f>
        <v>578761.96611111111</v>
      </c>
      <c r="I39" s="175">
        <f>'Trip Calculation'!E82</f>
        <v>307187.65000000002</v>
      </c>
      <c r="J39" s="179">
        <f>'Trip Calculation'!F82*'Other Factors'!$E$15</f>
        <v>28175328.93</v>
      </c>
      <c r="K39" s="179">
        <f>'Trip Calculation'!F82*'Other Factors'!$F$15</f>
        <v>46277169.225000001</v>
      </c>
      <c r="L39" s="176">
        <f>'Trip Calculation'!H82*'Other Factors'!$G$15</f>
        <v>13381244.559999999</v>
      </c>
      <c r="M39" s="177">
        <f t="shared" si="8"/>
        <v>87833742.715000004</v>
      </c>
      <c r="N39" s="179">
        <f>M39*'Other Factors'!$B$8</f>
        <v>3337682223.1700001</v>
      </c>
      <c r="O39" s="178">
        <f>(('Trip Calculation'!F82*'Other Factors'!$E$17)+('Trip Calculation'!G82*'Other Factors'!$F$17)+('Trip Calculation'!H82*'Other Factors'!$G$17))/60</f>
        <v>976738.02930416679</v>
      </c>
      <c r="P39" s="175">
        <f t="shared" si="9"/>
        <v>50584032.715000011</v>
      </c>
      <c r="Q39" s="179">
        <f t="shared" si="10"/>
        <v>1922193243.1700003</v>
      </c>
      <c r="R39" s="180">
        <f t="shared" si="11"/>
        <v>397976.06319305568</v>
      </c>
    </row>
    <row r="40" spans="1:18" x14ac:dyDescent="0.25">
      <c r="A40" s="5">
        <v>2050</v>
      </c>
      <c r="B40" s="169">
        <f>'Trip Calculation'!E39</f>
        <v>319739.99999999994</v>
      </c>
      <c r="C40" s="170">
        <f>'Trip Calculation'!F39*'Other Factors'!$B$15</f>
        <v>8952719.9999999981</v>
      </c>
      <c r="D40" s="170">
        <f>'Trip Calculation'!G39*'Other Factors'!$C$15</f>
        <v>17985374.999999996</v>
      </c>
      <c r="E40" s="171">
        <f>'Trip Calculation'!H39*'Other Factors'!$D$15</f>
        <v>10311615.000000002</v>
      </c>
      <c r="F40" s="172">
        <f t="shared" si="7"/>
        <v>37249709.999999993</v>
      </c>
      <c r="G40" s="179">
        <f>F40*'Other Factors'!$B$8</f>
        <v>1415488979.9999998</v>
      </c>
      <c r="H40" s="174">
        <f>(('Trip Calculation'!F39*'Other Factors'!$B$17)+('Trip Calculation'!G39*'Other Factors'!$C$17)+('Trip Calculation'!H39*'Other Factors'!$D$17))/60</f>
        <v>578761.96611111111</v>
      </c>
      <c r="I40" s="175">
        <f>'Trip Calculation'!E83</f>
        <v>307187.65000000002</v>
      </c>
      <c r="J40" s="179">
        <f>'Trip Calculation'!F83*'Other Factors'!$E$15</f>
        <v>28175328.93</v>
      </c>
      <c r="K40" s="179">
        <f>'Trip Calculation'!F83*'Other Factors'!$F$15</f>
        <v>46277169.225000001</v>
      </c>
      <c r="L40" s="176">
        <f>'Trip Calculation'!H83*'Other Factors'!$G$15</f>
        <v>13381244.559999999</v>
      </c>
      <c r="M40" s="177">
        <f t="shared" si="8"/>
        <v>87833742.715000004</v>
      </c>
      <c r="N40" s="179">
        <f>M40*'Other Factors'!$B$8</f>
        <v>3337682223.1700001</v>
      </c>
      <c r="O40" s="178">
        <f>(('Trip Calculation'!F83*'Other Factors'!$E$17)+('Trip Calculation'!G83*'Other Factors'!$F$17)+('Trip Calculation'!H83*'Other Factors'!$G$17))/60</f>
        <v>976738.02930416679</v>
      </c>
      <c r="P40" s="175">
        <f t="shared" si="9"/>
        <v>50584032.715000011</v>
      </c>
      <c r="Q40" s="179">
        <f t="shared" si="10"/>
        <v>1922193243.1700003</v>
      </c>
      <c r="R40" s="180">
        <f t="shared" si="11"/>
        <v>397976.06319305568</v>
      </c>
    </row>
    <row r="41" spans="1:18" x14ac:dyDescent="0.25">
      <c r="A41" s="5">
        <v>2051</v>
      </c>
      <c r="B41" s="169">
        <f>'Trip Calculation'!E40</f>
        <v>319739.99999999994</v>
      </c>
      <c r="C41" s="170">
        <f>'Trip Calculation'!F40*'Other Factors'!$B$15</f>
        <v>8952719.9999999981</v>
      </c>
      <c r="D41" s="170">
        <f>'Trip Calculation'!G40*'Other Factors'!$C$15</f>
        <v>17985374.999999996</v>
      </c>
      <c r="E41" s="171">
        <f>'Trip Calculation'!H40*'Other Factors'!$D$15</f>
        <v>10311615.000000002</v>
      </c>
      <c r="F41" s="172">
        <f t="shared" si="7"/>
        <v>37249709.999999993</v>
      </c>
      <c r="G41" s="179">
        <f>F41*'Other Factors'!$B$8</f>
        <v>1415488979.9999998</v>
      </c>
      <c r="H41" s="174">
        <f>(('Trip Calculation'!F40*'Other Factors'!$B$17)+('Trip Calculation'!G40*'Other Factors'!$C$17)+('Trip Calculation'!H40*'Other Factors'!$D$17))/60</f>
        <v>578761.96611111111</v>
      </c>
      <c r="I41" s="175">
        <f>'Trip Calculation'!E84</f>
        <v>307187.65000000002</v>
      </c>
      <c r="J41" s="179">
        <f>'Trip Calculation'!F84*'Other Factors'!$E$15</f>
        <v>28175328.93</v>
      </c>
      <c r="K41" s="179">
        <f>'Trip Calculation'!F84*'Other Factors'!$F$15</f>
        <v>46277169.225000001</v>
      </c>
      <c r="L41" s="176">
        <f>'Trip Calculation'!H84*'Other Factors'!$G$15</f>
        <v>13381244.559999999</v>
      </c>
      <c r="M41" s="177">
        <f t="shared" si="8"/>
        <v>87833742.715000004</v>
      </c>
      <c r="N41" s="179">
        <f>M41*'Other Factors'!$B$8</f>
        <v>3337682223.1700001</v>
      </c>
      <c r="O41" s="178">
        <f>(('Trip Calculation'!F84*'Other Factors'!$E$17)+('Trip Calculation'!G84*'Other Factors'!$F$17)+('Trip Calculation'!H84*'Other Factors'!$G$17))/60</f>
        <v>976738.02930416679</v>
      </c>
      <c r="P41" s="175">
        <f t="shared" si="9"/>
        <v>50584032.715000011</v>
      </c>
      <c r="Q41" s="179">
        <f t="shared" si="10"/>
        <v>1922193243.1700003</v>
      </c>
      <c r="R41" s="180">
        <f t="shared" si="11"/>
        <v>397976.06319305568</v>
      </c>
    </row>
    <row r="42" spans="1:18" x14ac:dyDescent="0.25">
      <c r="A42" s="5">
        <v>2052</v>
      </c>
      <c r="B42" s="169">
        <f>'Trip Calculation'!E41</f>
        <v>319739.99999999994</v>
      </c>
      <c r="C42" s="170">
        <f>'Trip Calculation'!F41*'Other Factors'!$B$15</f>
        <v>8952719.9999999981</v>
      </c>
      <c r="D42" s="170">
        <f>'Trip Calculation'!G41*'Other Factors'!$C$15</f>
        <v>17985374.999999996</v>
      </c>
      <c r="E42" s="171">
        <f>'Trip Calculation'!H41*'Other Factors'!$D$15</f>
        <v>10311615.000000002</v>
      </c>
      <c r="F42" s="172">
        <f t="shared" ref="F42" si="12">C42+D42+E42</f>
        <v>37249709.999999993</v>
      </c>
      <c r="G42" s="376">
        <f>F42*'Other Factors'!$B$8</f>
        <v>1415488979.9999998</v>
      </c>
      <c r="H42" s="174">
        <f>(('Trip Calculation'!F41*'Other Factors'!$B$17)+('Trip Calculation'!G41*'Other Factors'!$C$17)+('Trip Calculation'!H41*'Other Factors'!$D$17))/60</f>
        <v>578761.96611111111</v>
      </c>
      <c r="I42" s="175">
        <f>'Trip Calculation'!E85</f>
        <v>307187.65000000002</v>
      </c>
      <c r="J42" s="179">
        <f>'Trip Calculation'!F85*'Other Factors'!$E$15</f>
        <v>28175328.93</v>
      </c>
      <c r="K42" s="179">
        <f>'Trip Calculation'!F85*'Other Factors'!$F$15</f>
        <v>46277169.225000001</v>
      </c>
      <c r="L42" s="176">
        <f>'Trip Calculation'!H85*'Other Factors'!$G$15</f>
        <v>13381244.559999999</v>
      </c>
      <c r="M42" s="177">
        <f t="shared" ref="M42" si="13">J42+K42+L42</f>
        <v>87833742.715000004</v>
      </c>
      <c r="N42" s="179">
        <f>M42*'Other Factors'!$B$8</f>
        <v>3337682223.1700001</v>
      </c>
      <c r="O42" s="178">
        <f>(('Trip Calculation'!F85*'Other Factors'!$E$17)+('Trip Calculation'!G85*'Other Factors'!$F$17)+('Trip Calculation'!H85*'Other Factors'!$G$17))/60</f>
        <v>976738.02930416679</v>
      </c>
      <c r="P42" s="175">
        <f t="shared" ref="P42" si="14">M42-F42</f>
        <v>50584032.715000011</v>
      </c>
      <c r="Q42" s="179">
        <f t="shared" ref="Q42" si="15">N42-G42</f>
        <v>1922193243.1700003</v>
      </c>
      <c r="R42" s="180">
        <f t="shared" ref="R42" si="16">O42-H42</f>
        <v>397976.06319305568</v>
      </c>
    </row>
    <row r="43" spans="1:18" ht="15.75" thickBot="1" x14ac:dyDescent="0.3">
      <c r="A43" s="6" t="s">
        <v>1</v>
      </c>
      <c r="B43" s="17">
        <f>SUM(B4:B42)</f>
        <v>7831439.9999999991</v>
      </c>
      <c r="C43" s="8">
        <f>SUM(C4:C42)</f>
        <v>219280319.99999997</v>
      </c>
      <c r="D43" s="8">
        <f t="shared" ref="D43:G43" si="17">SUM(D4:D42)</f>
        <v>440518500</v>
      </c>
      <c r="E43" s="8">
        <f t="shared" si="17"/>
        <v>252563940</v>
      </c>
      <c r="F43" s="8">
        <f t="shared" si="17"/>
        <v>912362760</v>
      </c>
      <c r="G43" s="8">
        <f t="shared" si="17"/>
        <v>34669784880</v>
      </c>
      <c r="H43" s="14">
        <f>SUM(H4:H42)</f>
        <v>14175704.046666663</v>
      </c>
      <c r="I43" s="7">
        <f>SUM(I4:I42)</f>
        <v>7523993.4000000032</v>
      </c>
      <c r="J43" s="14">
        <f>SUM(J4:J42)</f>
        <v>690102577.0799998</v>
      </c>
      <c r="K43" s="14">
        <f t="shared" ref="K43:N43" si="18">SUM(K4:K42)</f>
        <v>1133473679.1000001</v>
      </c>
      <c r="L43" s="14">
        <f t="shared" si="18"/>
        <v>327748839.36000001</v>
      </c>
      <c r="M43" s="14">
        <f t="shared" si="18"/>
        <v>2151325095.5399995</v>
      </c>
      <c r="N43" s="14">
        <f t="shared" si="18"/>
        <v>81750353630.519974</v>
      </c>
      <c r="O43" s="14">
        <f>SUM(O4:O42)</f>
        <v>23923391.731449999</v>
      </c>
      <c r="P43" s="7">
        <f>SUM(P4:P42)</f>
        <v>1238962335.5400002</v>
      </c>
      <c r="Q43" s="14">
        <f>SUM(Q4:Q42)</f>
        <v>47080568750.520004</v>
      </c>
      <c r="R43" s="202">
        <f>SUM(R4:R42)</f>
        <v>9747687.6847833358</v>
      </c>
    </row>
    <row r="44" spans="1:18" x14ac:dyDescent="0.25">
      <c r="B44" s="181"/>
      <c r="F44" s="181"/>
      <c r="I44" s="181"/>
      <c r="J44" s="181"/>
      <c r="M44" s="181"/>
      <c r="N44" s="181"/>
      <c r="P44" s="181"/>
      <c r="Q44" s="181"/>
      <c r="R44" s="181"/>
    </row>
    <row r="45" spans="1:18" ht="27" customHeight="1" thickBot="1" x14ac:dyDescent="0.4">
      <c r="A45" s="168" t="s">
        <v>119</v>
      </c>
      <c r="M45" s="181"/>
    </row>
    <row r="46" spans="1:18" x14ac:dyDescent="0.25">
      <c r="A46" s="473" t="s">
        <v>78</v>
      </c>
      <c r="B46" s="467" t="s">
        <v>120</v>
      </c>
      <c r="C46" s="468"/>
      <c r="D46" s="468"/>
      <c r="E46" s="468"/>
      <c r="F46" s="468"/>
      <c r="G46" s="468"/>
      <c r="H46" s="469"/>
      <c r="I46" s="467" t="s">
        <v>121</v>
      </c>
      <c r="J46" s="468"/>
      <c r="K46" s="468"/>
      <c r="L46" s="468"/>
      <c r="M46" s="468"/>
      <c r="N46" s="468"/>
      <c r="O46" s="469"/>
      <c r="P46" s="467" t="s">
        <v>77</v>
      </c>
      <c r="Q46" s="468"/>
      <c r="R46" s="469"/>
    </row>
    <row r="47" spans="1:18" ht="48.75" customHeight="1" x14ac:dyDescent="0.25">
      <c r="A47" s="474"/>
      <c r="B47" s="146" t="s">
        <v>251</v>
      </c>
      <c r="C47" s="15" t="s">
        <v>172</v>
      </c>
      <c r="D47" s="15" t="s">
        <v>173</v>
      </c>
      <c r="E47" s="147" t="s">
        <v>174</v>
      </c>
      <c r="F47" s="15" t="s">
        <v>250</v>
      </c>
      <c r="G47" s="147" t="s">
        <v>249</v>
      </c>
      <c r="H47" s="149" t="s">
        <v>265</v>
      </c>
      <c r="I47" s="146" t="s">
        <v>248</v>
      </c>
      <c r="J47" s="15" t="s">
        <v>175</v>
      </c>
      <c r="K47" s="15" t="s">
        <v>176</v>
      </c>
      <c r="L47" s="147" t="s">
        <v>177</v>
      </c>
      <c r="M47" s="147" t="s">
        <v>247</v>
      </c>
      <c r="N47" s="148" t="s">
        <v>246</v>
      </c>
      <c r="O47" s="149" t="s">
        <v>266</v>
      </c>
      <c r="P47" s="146" t="s">
        <v>122</v>
      </c>
      <c r="Q47" s="147" t="s">
        <v>123</v>
      </c>
      <c r="R47" s="150" t="s">
        <v>267</v>
      </c>
    </row>
    <row r="48" spans="1:18" x14ac:dyDescent="0.25">
      <c r="A48" s="5">
        <v>2014</v>
      </c>
      <c r="B48" s="169">
        <f>'Trip Calculation'!I3</f>
        <v>0</v>
      </c>
      <c r="C48" s="171">
        <f>'Trip Calculation'!J3*'Other Factors'!$B$21</f>
        <v>0</v>
      </c>
      <c r="D48" s="171">
        <f>'Trip Calculation'!K3*'Other Factors'!$C$21</f>
        <v>0</v>
      </c>
      <c r="E48" s="171">
        <f>'Trip Calculation'!L3*'Other Factors'!$D$21</f>
        <v>0</v>
      </c>
      <c r="F48" s="170">
        <f>C48+D48+E48</f>
        <v>0</v>
      </c>
      <c r="G48" s="179">
        <f>F48*'Other Factors'!$B$9*'Other Factors'!$B$5</f>
        <v>0</v>
      </c>
      <c r="H48" s="174">
        <f>(('Trip Calculation'!J3*'Other Factors'!$B$23)+('Trip Calculation'!K3*'Other Factors'!$C$23)+('Trip Calculation'!L3*'Other Factors'!$D$23))/60</f>
        <v>0</v>
      </c>
      <c r="I48" s="169">
        <f>'Trip Calculation'!I47</f>
        <v>0</v>
      </c>
      <c r="J48" s="176">
        <f>'Trip Calculation'!J47*'Other Factors'!$E$21</f>
        <v>0</v>
      </c>
      <c r="K48" s="182">
        <f>'Trip Calculation'!K47*'Other Factors'!$F$21</f>
        <v>0</v>
      </c>
      <c r="L48" s="176">
        <f>'Trip Calculation'!L47*'Other Factors'!$G$21</f>
        <v>0</v>
      </c>
      <c r="M48" s="177">
        <f>J48+K48+L48</f>
        <v>0</v>
      </c>
      <c r="N48" s="173">
        <f>M48*'Other Factors'!$B$9*'Other Factors'!$B$5</f>
        <v>0</v>
      </c>
      <c r="O48" s="178">
        <f>(('Trip Calculation'!J47*'Other Factors'!$E$23)+('Trip Calculation'!K47*'Other Factors'!$F$23)+('Trip Calculation'!L47*'Other Factors'!$G$23))/60</f>
        <v>0</v>
      </c>
      <c r="P48" s="169">
        <f t="shared" ref="P48:R49" si="19">M48-F48</f>
        <v>0</v>
      </c>
      <c r="Q48" s="179">
        <f t="shared" si="19"/>
        <v>0</v>
      </c>
      <c r="R48" s="180">
        <f t="shared" si="19"/>
        <v>0</v>
      </c>
    </row>
    <row r="49" spans="1:18" x14ac:dyDescent="0.25">
      <c r="A49" s="5">
        <v>2015</v>
      </c>
      <c r="B49" s="169">
        <f>'Trip Calculation'!I4</f>
        <v>0</v>
      </c>
      <c r="C49" s="171">
        <f>'Trip Calculation'!J4*'Other Factors'!$B$21</f>
        <v>0</v>
      </c>
      <c r="D49" s="171">
        <f>'Trip Calculation'!K4*'Other Factors'!$C$21</f>
        <v>0</v>
      </c>
      <c r="E49" s="171">
        <f>'Trip Calculation'!L4*'Other Factors'!$D$21</f>
        <v>0</v>
      </c>
      <c r="F49" s="170">
        <f>C49+D49+E49</f>
        <v>0</v>
      </c>
      <c r="G49" s="179">
        <f>F49*'Other Factors'!$B$9*'Other Factors'!$B$5</f>
        <v>0</v>
      </c>
      <c r="H49" s="174">
        <f>(('Trip Calculation'!J4*'Other Factors'!$B$23)+('Trip Calculation'!K4*'Other Factors'!$C$23)+('Trip Calculation'!L4*'Other Factors'!$D$23))/60</f>
        <v>0</v>
      </c>
      <c r="I49" s="169">
        <f>'Trip Calculation'!I48</f>
        <v>0</v>
      </c>
      <c r="J49" s="176">
        <f>'Trip Calculation'!J48*'Other Factors'!$E$21</f>
        <v>0</v>
      </c>
      <c r="K49" s="171">
        <f>'Trip Calculation'!K48*'Other Factors'!$F$21</f>
        <v>0</v>
      </c>
      <c r="L49" s="176">
        <f>'Trip Calculation'!L48*'Other Factors'!$G$21</f>
        <v>0</v>
      </c>
      <c r="M49" s="177">
        <f>J49+K49+L49</f>
        <v>0</v>
      </c>
      <c r="N49" s="179">
        <f>M49*'Other Factors'!$B$9*'Other Factors'!$B$5</f>
        <v>0</v>
      </c>
      <c r="O49" s="178">
        <f>(('Trip Calculation'!J48*'Other Factors'!$E$23)+('Trip Calculation'!K48*'Other Factors'!$F$23)+('Trip Calculation'!L48*'Other Factors'!$G$23))/60</f>
        <v>0</v>
      </c>
      <c r="P49" s="169">
        <f t="shared" si="19"/>
        <v>0</v>
      </c>
      <c r="Q49" s="179">
        <f t="shared" si="19"/>
        <v>0</v>
      </c>
      <c r="R49" s="180">
        <f t="shared" si="19"/>
        <v>0</v>
      </c>
    </row>
    <row r="50" spans="1:18" x14ac:dyDescent="0.25">
      <c r="A50" s="5">
        <v>2016</v>
      </c>
      <c r="B50" s="169">
        <f>'Trip Calculation'!I5</f>
        <v>0</v>
      </c>
      <c r="C50" s="171">
        <f>'Trip Calculation'!J5*'Other Factors'!$B$21</f>
        <v>0</v>
      </c>
      <c r="D50" s="171">
        <f>'Trip Calculation'!K5*'Other Factors'!$C$21</f>
        <v>0</v>
      </c>
      <c r="E50" s="171">
        <f>'Trip Calculation'!L5*'Other Factors'!$D$21</f>
        <v>0</v>
      </c>
      <c r="F50" s="170">
        <f t="shared" ref="F50:F81" si="20">C50+D50+E50</f>
        <v>0</v>
      </c>
      <c r="G50" s="179">
        <f>F50*'Other Factors'!$B$9*'Other Factors'!$B$5</f>
        <v>0</v>
      </c>
      <c r="H50" s="174">
        <f>(('Trip Calculation'!J5*'Other Factors'!$B$23)+('Trip Calculation'!K5*'Other Factors'!$C$23)+('Trip Calculation'!L5*'Other Factors'!$D$23))/60</f>
        <v>0</v>
      </c>
      <c r="I50" s="169">
        <f>'Trip Calculation'!I49</f>
        <v>0</v>
      </c>
      <c r="J50" s="176">
        <f>'Trip Calculation'!J49*'Other Factors'!$E$21</f>
        <v>0</v>
      </c>
      <c r="K50" s="171">
        <f>'Trip Calculation'!K49*'Other Factors'!$F$21</f>
        <v>0</v>
      </c>
      <c r="L50" s="176">
        <f>'Trip Calculation'!L49*'Other Factors'!$G$21</f>
        <v>0</v>
      </c>
      <c r="M50" s="177">
        <f t="shared" ref="M50:M81" si="21">J50+K50+L50</f>
        <v>0</v>
      </c>
      <c r="N50" s="179">
        <f>M50*'Other Factors'!$B$9*'Other Factors'!$B$5</f>
        <v>0</v>
      </c>
      <c r="O50" s="178">
        <f>(('Trip Calculation'!J49*'Other Factors'!$E$23)+('Trip Calculation'!K49*'Other Factors'!$F$23)+('Trip Calculation'!L49*'Other Factors'!$G$23))/60</f>
        <v>0</v>
      </c>
      <c r="P50" s="169">
        <f t="shared" ref="P50:P81" si="22">M50-F50</f>
        <v>0</v>
      </c>
      <c r="Q50" s="179">
        <f t="shared" ref="Q50:Q81" si="23">N50-G50</f>
        <v>0</v>
      </c>
      <c r="R50" s="180">
        <f t="shared" ref="R50:R81" si="24">O50-H50</f>
        <v>0</v>
      </c>
    </row>
    <row r="51" spans="1:18" x14ac:dyDescent="0.25">
      <c r="A51" s="5">
        <v>2017</v>
      </c>
      <c r="B51" s="169">
        <f>'Trip Calculation'!I6</f>
        <v>0</v>
      </c>
      <c r="C51" s="171">
        <f>'Trip Calculation'!J6*'Other Factors'!$B$21</f>
        <v>0</v>
      </c>
      <c r="D51" s="171">
        <f>'Trip Calculation'!K6*'Other Factors'!$C$21</f>
        <v>0</v>
      </c>
      <c r="E51" s="171">
        <f>'Trip Calculation'!L6*'Other Factors'!$D$21</f>
        <v>0</v>
      </c>
      <c r="F51" s="170">
        <f t="shared" si="20"/>
        <v>0</v>
      </c>
      <c r="G51" s="179">
        <f>F51*'Other Factors'!$B$9*'Other Factors'!$B$5</f>
        <v>0</v>
      </c>
      <c r="H51" s="174">
        <f>(('Trip Calculation'!J6*'Other Factors'!$B$23)+('Trip Calculation'!K6*'Other Factors'!$C$23)+('Trip Calculation'!L6*'Other Factors'!$D$23))/60</f>
        <v>0</v>
      </c>
      <c r="I51" s="169">
        <f>'Trip Calculation'!I50</f>
        <v>0</v>
      </c>
      <c r="J51" s="176">
        <f>'Trip Calculation'!J50*'Other Factors'!$E$21</f>
        <v>0</v>
      </c>
      <c r="K51" s="171">
        <f>'Trip Calculation'!K50*'Other Factors'!$F$21</f>
        <v>0</v>
      </c>
      <c r="L51" s="176">
        <f>'Trip Calculation'!L50*'Other Factors'!$G$21</f>
        <v>0</v>
      </c>
      <c r="M51" s="177">
        <f t="shared" si="21"/>
        <v>0</v>
      </c>
      <c r="N51" s="179">
        <f>M51*'Other Factors'!$B$9*'Other Factors'!$B$5</f>
        <v>0</v>
      </c>
      <c r="O51" s="178">
        <f>(('Trip Calculation'!J50*'Other Factors'!$E$23)+('Trip Calculation'!K50*'Other Factors'!$F$23)+('Trip Calculation'!L50*'Other Factors'!$G$23))/60</f>
        <v>0</v>
      </c>
      <c r="P51" s="169">
        <f t="shared" si="22"/>
        <v>0</v>
      </c>
      <c r="Q51" s="179">
        <f t="shared" si="23"/>
        <v>0</v>
      </c>
      <c r="R51" s="180">
        <f t="shared" si="24"/>
        <v>0</v>
      </c>
    </row>
    <row r="52" spans="1:18" x14ac:dyDescent="0.25">
      <c r="A52" s="5">
        <v>2018</v>
      </c>
      <c r="B52" s="169">
        <f>'Trip Calculation'!I7</f>
        <v>0</v>
      </c>
      <c r="C52" s="171">
        <f>'Trip Calculation'!J7*'Other Factors'!$B$21</f>
        <v>0</v>
      </c>
      <c r="D52" s="171">
        <f>'Trip Calculation'!K7*'Other Factors'!$C$21</f>
        <v>0</v>
      </c>
      <c r="E52" s="171">
        <f>'Trip Calculation'!L7*'Other Factors'!$D$21</f>
        <v>0</v>
      </c>
      <c r="F52" s="170">
        <f t="shared" si="20"/>
        <v>0</v>
      </c>
      <c r="G52" s="179">
        <f>F52*'Other Factors'!$B$9*'Other Factors'!$B$5</f>
        <v>0</v>
      </c>
      <c r="H52" s="174">
        <f>(('Trip Calculation'!J7*'Other Factors'!$B$23)+('Trip Calculation'!K7*'Other Factors'!$C$23)+('Trip Calculation'!L7*'Other Factors'!$D$23))/60</f>
        <v>0</v>
      </c>
      <c r="I52" s="169">
        <f>'Trip Calculation'!I51</f>
        <v>0</v>
      </c>
      <c r="J52" s="176">
        <f>'Trip Calculation'!J51*'Other Factors'!$E$21</f>
        <v>0</v>
      </c>
      <c r="K52" s="171">
        <f>'Trip Calculation'!K51*'Other Factors'!$F$21</f>
        <v>0</v>
      </c>
      <c r="L52" s="176">
        <f>'Trip Calculation'!L51*'Other Factors'!$G$21</f>
        <v>0</v>
      </c>
      <c r="M52" s="177">
        <f t="shared" si="21"/>
        <v>0</v>
      </c>
      <c r="N52" s="179">
        <f>M52*'Other Factors'!$B$9*'Other Factors'!$B$5</f>
        <v>0</v>
      </c>
      <c r="O52" s="178">
        <f>(('Trip Calculation'!J51*'Other Factors'!$E$23)+('Trip Calculation'!K51*'Other Factors'!$F$23)+('Trip Calculation'!L51*'Other Factors'!$G$23))/60</f>
        <v>0</v>
      </c>
      <c r="P52" s="169">
        <f t="shared" si="22"/>
        <v>0</v>
      </c>
      <c r="Q52" s="179">
        <f t="shared" si="23"/>
        <v>0</v>
      </c>
      <c r="R52" s="180">
        <f t="shared" si="24"/>
        <v>0</v>
      </c>
    </row>
    <row r="53" spans="1:18" x14ac:dyDescent="0.25">
      <c r="A53" s="5">
        <v>2019</v>
      </c>
      <c r="B53" s="169">
        <f>'Trip Calculation'!I8</f>
        <v>0</v>
      </c>
      <c r="C53" s="171">
        <f>'Trip Calculation'!J8*'Other Factors'!$B$21</f>
        <v>0</v>
      </c>
      <c r="D53" s="171">
        <f>'Trip Calculation'!K8*'Other Factors'!$C$21</f>
        <v>0</v>
      </c>
      <c r="E53" s="171">
        <f>'Trip Calculation'!L8*'Other Factors'!$D$21</f>
        <v>0</v>
      </c>
      <c r="F53" s="170">
        <f t="shared" si="20"/>
        <v>0</v>
      </c>
      <c r="G53" s="179">
        <f>F53*'Other Factors'!$B$9*'Other Factors'!$B$5</f>
        <v>0</v>
      </c>
      <c r="H53" s="174">
        <f>(('Trip Calculation'!J8*'Other Factors'!$B$23)+('Trip Calculation'!K8*'Other Factors'!$C$23)+('Trip Calculation'!L8*'Other Factors'!$D$23))/60</f>
        <v>0</v>
      </c>
      <c r="I53" s="169">
        <f>'Trip Calculation'!I52</f>
        <v>0</v>
      </c>
      <c r="J53" s="176">
        <f>'Trip Calculation'!J52*'Other Factors'!$E$21</f>
        <v>0</v>
      </c>
      <c r="K53" s="171">
        <f>'Trip Calculation'!K52*'Other Factors'!$F$21</f>
        <v>0</v>
      </c>
      <c r="L53" s="176">
        <f>'Trip Calculation'!L52*'Other Factors'!$G$21</f>
        <v>0</v>
      </c>
      <c r="M53" s="177">
        <f t="shared" si="21"/>
        <v>0</v>
      </c>
      <c r="N53" s="179">
        <f>M53*'Other Factors'!$B$9*'Other Factors'!$B$5</f>
        <v>0</v>
      </c>
      <c r="O53" s="178">
        <f>(('Trip Calculation'!J52*'Other Factors'!$E$23)+('Trip Calculation'!K52*'Other Factors'!$F$23)+('Trip Calculation'!L52*'Other Factors'!$G$23))/60</f>
        <v>0</v>
      </c>
      <c r="P53" s="169">
        <f t="shared" si="22"/>
        <v>0</v>
      </c>
      <c r="Q53" s="179">
        <f t="shared" si="23"/>
        <v>0</v>
      </c>
      <c r="R53" s="180">
        <f t="shared" si="24"/>
        <v>0</v>
      </c>
    </row>
    <row r="54" spans="1:18" x14ac:dyDescent="0.25">
      <c r="A54" s="5">
        <v>2020</v>
      </c>
      <c r="B54" s="169">
        <f>'Trip Calculation'!I9</f>
        <v>0</v>
      </c>
      <c r="C54" s="171">
        <f>'Trip Calculation'!J9*'Other Factors'!$B$21</f>
        <v>0</v>
      </c>
      <c r="D54" s="171">
        <f>'Trip Calculation'!K9*'Other Factors'!$C$21</f>
        <v>0</v>
      </c>
      <c r="E54" s="171">
        <f>'Trip Calculation'!L9*'Other Factors'!$D$21</f>
        <v>0</v>
      </c>
      <c r="F54" s="170">
        <f t="shared" si="20"/>
        <v>0</v>
      </c>
      <c r="G54" s="179">
        <f>F54*'Other Factors'!$B$9*'Other Factors'!$B$5</f>
        <v>0</v>
      </c>
      <c r="H54" s="174">
        <f>(('Trip Calculation'!J9*'Other Factors'!$B$23)+('Trip Calculation'!K9*'Other Factors'!$C$23)+('Trip Calculation'!L9*'Other Factors'!$D$23))/60</f>
        <v>0</v>
      </c>
      <c r="I54" s="169">
        <f>'Trip Calculation'!I53</f>
        <v>0</v>
      </c>
      <c r="J54" s="176">
        <f>'Trip Calculation'!J53*'Other Factors'!$E$21</f>
        <v>0</v>
      </c>
      <c r="K54" s="171">
        <f>'Trip Calculation'!K53*'Other Factors'!$F$21</f>
        <v>0</v>
      </c>
      <c r="L54" s="176">
        <f>'Trip Calculation'!L53*'Other Factors'!$G$21</f>
        <v>0</v>
      </c>
      <c r="M54" s="177">
        <f t="shared" si="21"/>
        <v>0</v>
      </c>
      <c r="N54" s="179">
        <f>M54*'Other Factors'!$B$9*'Other Factors'!$B$5</f>
        <v>0</v>
      </c>
      <c r="O54" s="178">
        <f>(('Trip Calculation'!J53*'Other Factors'!$E$23)+('Trip Calculation'!K53*'Other Factors'!$F$23)+('Trip Calculation'!L53*'Other Factors'!$G$23))/60</f>
        <v>0</v>
      </c>
      <c r="P54" s="169">
        <f t="shared" si="22"/>
        <v>0</v>
      </c>
      <c r="Q54" s="179">
        <f t="shared" si="23"/>
        <v>0</v>
      </c>
      <c r="R54" s="180">
        <f t="shared" si="24"/>
        <v>0</v>
      </c>
    </row>
    <row r="55" spans="1:18" x14ac:dyDescent="0.25">
      <c r="A55" s="5">
        <v>2021</v>
      </c>
      <c r="B55" s="169">
        <f>'Trip Calculation'!I10</f>
        <v>0</v>
      </c>
      <c r="C55" s="171">
        <f>'Trip Calculation'!J10*'Other Factors'!$B$21</f>
        <v>0</v>
      </c>
      <c r="D55" s="171">
        <f>'Trip Calculation'!K10*'Other Factors'!$C$21</f>
        <v>0</v>
      </c>
      <c r="E55" s="171">
        <f>'Trip Calculation'!L10*'Other Factors'!$D$21</f>
        <v>0</v>
      </c>
      <c r="F55" s="170">
        <f t="shared" si="20"/>
        <v>0</v>
      </c>
      <c r="G55" s="179">
        <f>F55*'Other Factors'!$B$9*'Other Factors'!$B$5</f>
        <v>0</v>
      </c>
      <c r="H55" s="174">
        <f>(('Trip Calculation'!J10*'Other Factors'!$B$23)+('Trip Calculation'!K10*'Other Factors'!$C$23)+('Trip Calculation'!L10*'Other Factors'!$D$23))/60</f>
        <v>0</v>
      </c>
      <c r="I55" s="169">
        <f>'Trip Calculation'!I54</f>
        <v>0</v>
      </c>
      <c r="J55" s="176">
        <f>'Trip Calculation'!J54*'Other Factors'!$E$21</f>
        <v>0</v>
      </c>
      <c r="K55" s="171">
        <f>'Trip Calculation'!K54*'Other Factors'!$F$21</f>
        <v>0</v>
      </c>
      <c r="L55" s="176">
        <f>'Trip Calculation'!L54*'Other Factors'!$G$21</f>
        <v>0</v>
      </c>
      <c r="M55" s="177">
        <f t="shared" si="21"/>
        <v>0</v>
      </c>
      <c r="N55" s="179">
        <f>M55*'Other Factors'!$B$9*'Other Factors'!$B$5</f>
        <v>0</v>
      </c>
      <c r="O55" s="178">
        <f>(('Trip Calculation'!J54*'Other Factors'!$E$23)+('Trip Calculation'!K54*'Other Factors'!$F$23)+('Trip Calculation'!L54*'Other Factors'!$G$23))/60</f>
        <v>0</v>
      </c>
      <c r="P55" s="169">
        <f t="shared" si="22"/>
        <v>0</v>
      </c>
      <c r="Q55" s="179">
        <f t="shared" si="23"/>
        <v>0</v>
      </c>
      <c r="R55" s="180">
        <f t="shared" si="24"/>
        <v>0</v>
      </c>
    </row>
    <row r="56" spans="1:18" x14ac:dyDescent="0.25">
      <c r="A56" s="5">
        <v>2022</v>
      </c>
      <c r="B56" s="169">
        <f>'Trip Calculation'!I11</f>
        <v>0</v>
      </c>
      <c r="C56" s="171">
        <f>'Trip Calculation'!J11*'Other Factors'!$B$21</f>
        <v>0</v>
      </c>
      <c r="D56" s="171">
        <f>'Trip Calculation'!K11*'Other Factors'!$C$21</f>
        <v>0</v>
      </c>
      <c r="E56" s="171">
        <f>'Trip Calculation'!L11*'Other Factors'!$D$21</f>
        <v>0</v>
      </c>
      <c r="F56" s="170">
        <f t="shared" si="20"/>
        <v>0</v>
      </c>
      <c r="G56" s="179">
        <f>F56*'Other Factors'!$B$9*'Other Factors'!$B$5</f>
        <v>0</v>
      </c>
      <c r="H56" s="174">
        <f>(('Trip Calculation'!J11*'Other Factors'!$B$23)+('Trip Calculation'!K11*'Other Factors'!$C$23)+('Trip Calculation'!L11*'Other Factors'!$D$23))/60</f>
        <v>0</v>
      </c>
      <c r="I56" s="169">
        <f>'Trip Calculation'!I55</f>
        <v>0</v>
      </c>
      <c r="J56" s="176">
        <f>'Trip Calculation'!J55*'Other Factors'!$E$21</f>
        <v>0</v>
      </c>
      <c r="K56" s="171">
        <f>'Trip Calculation'!K55*'Other Factors'!$F$21</f>
        <v>0</v>
      </c>
      <c r="L56" s="176">
        <f>'Trip Calculation'!L55*'Other Factors'!$G$21</f>
        <v>0</v>
      </c>
      <c r="M56" s="177">
        <f t="shared" si="21"/>
        <v>0</v>
      </c>
      <c r="N56" s="179">
        <f>M56*'Other Factors'!$B$9*'Other Factors'!$B$5</f>
        <v>0</v>
      </c>
      <c r="O56" s="178">
        <f>(('Trip Calculation'!J55*'Other Factors'!$E$23)+('Trip Calculation'!K55*'Other Factors'!$F$23)+('Trip Calculation'!L55*'Other Factors'!$G$23))/60</f>
        <v>0</v>
      </c>
      <c r="P56" s="169">
        <f t="shared" si="22"/>
        <v>0</v>
      </c>
      <c r="Q56" s="179">
        <f t="shared" si="23"/>
        <v>0</v>
      </c>
      <c r="R56" s="180">
        <f>O56-H56</f>
        <v>0</v>
      </c>
    </row>
    <row r="57" spans="1:18" x14ac:dyDescent="0.25">
      <c r="A57" s="5">
        <v>2023</v>
      </c>
      <c r="B57" s="169">
        <f>'Trip Calculation'!I12</f>
        <v>13.691666666666665</v>
      </c>
      <c r="C57" s="171">
        <f>'Trip Calculation'!J12*'Other Factors'!$B$21</f>
        <v>0</v>
      </c>
      <c r="D57" s="171">
        <f>'Trip Calculation'!K12*'Other Factors'!$C$21</f>
        <v>0</v>
      </c>
      <c r="E57" s="171">
        <f>'Trip Calculation'!L12*'Other Factors'!$D$21</f>
        <v>8831.1249999999982</v>
      </c>
      <c r="F57" s="170">
        <f t="shared" si="20"/>
        <v>8831.1249999999982</v>
      </c>
      <c r="G57" s="179">
        <f>F57*'Other Factors'!$B$9*'Other Factors'!$B$5</f>
        <v>74914599.999999985</v>
      </c>
      <c r="H57" s="174">
        <f>(('Trip Calculation'!J12*'Other Factors'!$B$23)+('Trip Calculation'!K12*'Other Factors'!$C$23)+('Trip Calculation'!L12*'Other Factors'!$D$23))/60</f>
        <v>284.875</v>
      </c>
      <c r="I57" s="169">
        <f>'Trip Calculation'!I56</f>
        <v>17.488895833333331</v>
      </c>
      <c r="J57" s="176">
        <f>'Trip Calculation'!J56*'Other Factors'!$E$21</f>
        <v>15566.292787499997</v>
      </c>
      <c r="K57" s="171">
        <f>'Trip Calculation'!K56*'Other Factors'!$F$21</f>
        <v>5574.2617499999978</v>
      </c>
      <c r="L57" s="176">
        <f>'Trip Calculation'!L56*'Other Factors'!$G$21</f>
        <v>3171.9793333333328</v>
      </c>
      <c r="M57" s="177">
        <f t="shared" si="21"/>
        <v>24312.533870833326</v>
      </c>
      <c r="N57" s="179">
        <f>M57*'Other Factors'!$B$9*'Other Factors'!$B$5</f>
        <v>206243683.55333328</v>
      </c>
      <c r="O57" s="178">
        <f>(('Trip Calculation'!J56*'Other Factors'!$E$23)+('Trip Calculation'!K56*'Other Factors'!$F$23)+('Trip Calculation'!L56*'Other Factors'!$G$23))/60</f>
        <v>784.2752861559137</v>
      </c>
      <c r="P57" s="169">
        <f t="shared" si="22"/>
        <v>15481.408870833327</v>
      </c>
      <c r="Q57" s="179">
        <f t="shared" si="23"/>
        <v>131329083.5533333</v>
      </c>
      <c r="R57" s="180">
        <f t="shared" si="24"/>
        <v>499.4002861559137</v>
      </c>
    </row>
    <row r="58" spans="1:18" x14ac:dyDescent="0.25">
      <c r="A58" s="5">
        <v>2024</v>
      </c>
      <c r="B58" s="169">
        <f>'Trip Calculation'!I13</f>
        <v>27.383333333333329</v>
      </c>
      <c r="C58" s="171">
        <f>'Trip Calculation'!J13*'Other Factors'!$B$21</f>
        <v>0</v>
      </c>
      <c r="D58" s="171">
        <f>'Trip Calculation'!K13*'Other Factors'!$C$21</f>
        <v>0</v>
      </c>
      <c r="E58" s="171">
        <f>'Trip Calculation'!L13*'Other Factors'!$D$21</f>
        <v>17662.249999999996</v>
      </c>
      <c r="F58" s="170">
        <f t="shared" si="20"/>
        <v>17662.249999999996</v>
      </c>
      <c r="G58" s="179">
        <f>F58*'Other Factors'!$B$9*'Other Factors'!$B$5</f>
        <v>149829199.99999997</v>
      </c>
      <c r="H58" s="174">
        <f>(('Trip Calculation'!J13*'Other Factors'!$B$23)+('Trip Calculation'!K13*'Other Factors'!$C$23)+('Trip Calculation'!L13*'Other Factors'!$D$23))/60</f>
        <v>569.75</v>
      </c>
      <c r="I58" s="169">
        <f>'Trip Calculation'!I57</f>
        <v>34.977791666666661</v>
      </c>
      <c r="J58" s="176">
        <f>'Trip Calculation'!J57*'Other Factors'!$E$21</f>
        <v>31132.585574999994</v>
      </c>
      <c r="K58" s="171">
        <f>'Trip Calculation'!K57*'Other Factors'!$F$21</f>
        <v>11148.523499999996</v>
      </c>
      <c r="L58" s="176">
        <f>'Trip Calculation'!L57*'Other Factors'!$G$21</f>
        <v>6343.9586666666655</v>
      </c>
      <c r="M58" s="177">
        <f t="shared" si="21"/>
        <v>48625.067741666651</v>
      </c>
      <c r="N58" s="179">
        <f>M58*'Other Factors'!$B$9*'Other Factors'!$B$5</f>
        <v>412487367.10666656</v>
      </c>
      <c r="O58" s="178">
        <f>(('Trip Calculation'!J57*'Other Factors'!$E$23)+('Trip Calculation'!K57*'Other Factors'!$F$23)+('Trip Calculation'!L57*'Other Factors'!$G$23))/60</f>
        <v>1568.5505723118274</v>
      </c>
      <c r="P58" s="169">
        <f t="shared" si="22"/>
        <v>30962.817741666655</v>
      </c>
      <c r="Q58" s="179">
        <f t="shared" si="23"/>
        <v>262658167.10666659</v>
      </c>
      <c r="R58" s="180">
        <f t="shared" si="24"/>
        <v>998.80057231182741</v>
      </c>
    </row>
    <row r="59" spans="1:18" x14ac:dyDescent="0.25">
      <c r="A59" s="5">
        <v>2025</v>
      </c>
      <c r="B59" s="169">
        <f>'Trip Calculation'!I14</f>
        <v>41.074999999999996</v>
      </c>
      <c r="C59" s="171">
        <f>'Trip Calculation'!J14*'Other Factors'!$B$21</f>
        <v>0</v>
      </c>
      <c r="D59" s="171">
        <f>'Trip Calculation'!K14*'Other Factors'!$C$21</f>
        <v>0</v>
      </c>
      <c r="E59" s="171">
        <f>'Trip Calculation'!L14*'Other Factors'!$D$21</f>
        <v>26493.374999999996</v>
      </c>
      <c r="F59" s="170">
        <f t="shared" si="20"/>
        <v>26493.374999999996</v>
      </c>
      <c r="G59" s="179">
        <f>F59*'Other Factors'!$B$9*'Other Factors'!$B$5</f>
        <v>224743800</v>
      </c>
      <c r="H59" s="174">
        <f>(('Trip Calculation'!J14*'Other Factors'!$B$23)+('Trip Calculation'!K14*'Other Factors'!$C$23)+('Trip Calculation'!L14*'Other Factors'!$D$23))/60</f>
        <v>854.625</v>
      </c>
      <c r="I59" s="169">
        <f>'Trip Calculation'!I58</f>
        <v>52.466687499999992</v>
      </c>
      <c r="J59" s="176">
        <f>'Trip Calculation'!J58*'Other Factors'!$E$21</f>
        <v>46698.878362499985</v>
      </c>
      <c r="K59" s="171">
        <f>'Trip Calculation'!K58*'Other Factors'!$F$21</f>
        <v>16722.785249999997</v>
      </c>
      <c r="L59" s="176">
        <f>'Trip Calculation'!L58*'Other Factors'!$G$21</f>
        <v>9515.9379999999983</v>
      </c>
      <c r="M59" s="177">
        <f t="shared" si="21"/>
        <v>72937.601612499973</v>
      </c>
      <c r="N59" s="179">
        <f>M59*'Other Factors'!$B$9*'Other Factors'!$B$5</f>
        <v>618731050.65999985</v>
      </c>
      <c r="O59" s="178">
        <f>(('Trip Calculation'!J58*'Other Factors'!$E$23)+('Trip Calculation'!K58*'Other Factors'!$F$23)+('Trip Calculation'!L58*'Other Factors'!$G$23))/60</f>
        <v>2352.825858467741</v>
      </c>
      <c r="P59" s="169">
        <f t="shared" si="22"/>
        <v>46444.226612499973</v>
      </c>
      <c r="Q59" s="179">
        <f t="shared" si="23"/>
        <v>393987250.65999985</v>
      </c>
      <c r="R59" s="180">
        <f t="shared" si="24"/>
        <v>1498.200858467741</v>
      </c>
    </row>
    <row r="60" spans="1:18" x14ac:dyDescent="0.25">
      <c r="A60" s="5">
        <v>2026</v>
      </c>
      <c r="B60" s="169">
        <f>'Trip Calculation'!I15</f>
        <v>54.766666666666659</v>
      </c>
      <c r="C60" s="171">
        <f>'Trip Calculation'!J15*'Other Factors'!$B$21</f>
        <v>0</v>
      </c>
      <c r="D60" s="171">
        <f>'Trip Calculation'!K15*'Other Factors'!$C$21</f>
        <v>0</v>
      </c>
      <c r="E60" s="171">
        <f>'Trip Calculation'!L15*'Other Factors'!$D$21</f>
        <v>35324.499999999993</v>
      </c>
      <c r="F60" s="170">
        <f t="shared" si="20"/>
        <v>35324.499999999993</v>
      </c>
      <c r="G60" s="179">
        <f>F60*'Other Factors'!$B$9*'Other Factors'!$B$5</f>
        <v>299658399.99999994</v>
      </c>
      <c r="H60" s="174">
        <f>(('Trip Calculation'!J15*'Other Factors'!$B$23)+('Trip Calculation'!K15*'Other Factors'!$C$23)+('Trip Calculation'!L15*'Other Factors'!$D$23))/60</f>
        <v>1139.5</v>
      </c>
      <c r="I60" s="169">
        <f>'Trip Calculation'!I59</f>
        <v>69.955583333333323</v>
      </c>
      <c r="J60" s="176">
        <f>'Trip Calculation'!J59*'Other Factors'!$E$21</f>
        <v>62265.171149999987</v>
      </c>
      <c r="K60" s="171">
        <f>'Trip Calculation'!K59*'Other Factors'!$F$21</f>
        <v>22297.046999999991</v>
      </c>
      <c r="L60" s="176">
        <f>'Trip Calculation'!L59*'Other Factors'!$G$21</f>
        <v>12687.917333333331</v>
      </c>
      <c r="M60" s="177">
        <f t="shared" si="21"/>
        <v>97250.135483333303</v>
      </c>
      <c r="N60" s="179">
        <f>M60*'Other Factors'!$B$9*'Other Factors'!$B$5</f>
        <v>824974734.21333313</v>
      </c>
      <c r="O60" s="178">
        <f>(('Trip Calculation'!J59*'Other Factors'!$E$23)+('Trip Calculation'!K59*'Other Factors'!$F$23)+('Trip Calculation'!L59*'Other Factors'!$G$23))/60</f>
        <v>3137.1011446236548</v>
      </c>
      <c r="P60" s="169">
        <f t="shared" si="22"/>
        <v>61925.63548333331</v>
      </c>
      <c r="Q60" s="179">
        <f t="shared" si="23"/>
        <v>525316334.21333319</v>
      </c>
      <c r="R60" s="180">
        <f t="shared" si="24"/>
        <v>1997.6011446236548</v>
      </c>
    </row>
    <row r="61" spans="1:18" x14ac:dyDescent="0.25">
      <c r="A61" s="5">
        <v>2027</v>
      </c>
      <c r="B61" s="169">
        <f>'Trip Calculation'!I16</f>
        <v>68.458333333333329</v>
      </c>
      <c r="C61" s="171">
        <f>'Trip Calculation'!J16*'Other Factors'!$B$21</f>
        <v>0</v>
      </c>
      <c r="D61" s="171">
        <f>'Trip Calculation'!K16*'Other Factors'!$C$21</f>
        <v>0</v>
      </c>
      <c r="E61" s="171">
        <f>'Trip Calculation'!L16*'Other Factors'!$D$21</f>
        <v>44155.625</v>
      </c>
      <c r="F61" s="170">
        <f t="shared" si="20"/>
        <v>44155.625</v>
      </c>
      <c r="G61" s="179">
        <f>F61*'Other Factors'!$B$9*'Other Factors'!$B$5</f>
        <v>374573000</v>
      </c>
      <c r="H61" s="174">
        <f>(('Trip Calculation'!J16*'Other Factors'!$B$23)+('Trip Calculation'!K16*'Other Factors'!$C$23)+('Trip Calculation'!L16*'Other Factors'!$D$23))/60</f>
        <v>1424.375</v>
      </c>
      <c r="I61" s="169">
        <f>'Trip Calculation'!I60</f>
        <v>87.444479166666653</v>
      </c>
      <c r="J61" s="176">
        <f>'Trip Calculation'!J60*'Other Factors'!$E$21</f>
        <v>77831.463937499982</v>
      </c>
      <c r="K61" s="171">
        <f>'Trip Calculation'!K60*'Other Factors'!$F$21</f>
        <v>27871.308749999989</v>
      </c>
      <c r="L61" s="176">
        <f>'Trip Calculation'!L60*'Other Factors'!$G$21</f>
        <v>15859.896666666664</v>
      </c>
      <c r="M61" s="177">
        <f t="shared" si="21"/>
        <v>121562.66935416663</v>
      </c>
      <c r="N61" s="179">
        <f>M61*'Other Factors'!$B$9*'Other Factors'!$B$5</f>
        <v>1031218417.7666664</v>
      </c>
      <c r="O61" s="178">
        <f>(('Trip Calculation'!J60*'Other Factors'!$E$23)+('Trip Calculation'!K60*'Other Factors'!$F$23)+('Trip Calculation'!L60*'Other Factors'!$G$23))/60</f>
        <v>3921.3764307795691</v>
      </c>
      <c r="P61" s="169">
        <f t="shared" si="22"/>
        <v>77407.044354166632</v>
      </c>
      <c r="Q61" s="179">
        <f t="shared" si="23"/>
        <v>656645417.76666641</v>
      </c>
      <c r="R61" s="180">
        <f t="shared" si="24"/>
        <v>2497.0014307795691</v>
      </c>
    </row>
    <row r="62" spans="1:18" x14ac:dyDescent="0.25">
      <c r="A62" s="5">
        <v>2028</v>
      </c>
      <c r="B62" s="169">
        <f>'Trip Calculation'!I17</f>
        <v>82.149999999999991</v>
      </c>
      <c r="C62" s="171">
        <f>'Trip Calculation'!J17*'Other Factors'!$B$21</f>
        <v>0</v>
      </c>
      <c r="D62" s="171">
        <f>'Trip Calculation'!K17*'Other Factors'!$C$21</f>
        <v>0</v>
      </c>
      <c r="E62" s="171">
        <f>'Trip Calculation'!L17*'Other Factors'!$D$21</f>
        <v>52986.749999999993</v>
      </c>
      <c r="F62" s="170">
        <f t="shared" si="20"/>
        <v>52986.749999999993</v>
      </c>
      <c r="G62" s="179">
        <f>F62*'Other Factors'!$B$9*'Other Factors'!$B$5</f>
        <v>449487600</v>
      </c>
      <c r="H62" s="174">
        <f>(('Trip Calculation'!J17*'Other Factors'!$B$23)+('Trip Calculation'!K17*'Other Factors'!$C$23)+('Trip Calculation'!L17*'Other Factors'!$D$23))/60</f>
        <v>1709.25</v>
      </c>
      <c r="I62" s="169">
        <f>'Trip Calculation'!I61</f>
        <v>104.93337499999998</v>
      </c>
      <c r="J62" s="176">
        <f>'Trip Calculation'!J61*'Other Factors'!$E$21</f>
        <v>93397.75672499997</v>
      </c>
      <c r="K62" s="171">
        <f>'Trip Calculation'!K61*'Other Factors'!$F$21</f>
        <v>33445.570499999994</v>
      </c>
      <c r="L62" s="176">
        <f>'Trip Calculation'!L61*'Other Factors'!$G$21</f>
        <v>19031.875999999997</v>
      </c>
      <c r="M62" s="177">
        <f t="shared" si="21"/>
        <v>145875.20322499995</v>
      </c>
      <c r="N62" s="179">
        <f>M62*'Other Factors'!$B$9*'Other Factors'!$B$5</f>
        <v>1237462101.3199997</v>
      </c>
      <c r="O62" s="178">
        <f>(('Trip Calculation'!J61*'Other Factors'!$E$23)+('Trip Calculation'!K61*'Other Factors'!$F$23)+('Trip Calculation'!L61*'Other Factors'!$G$23))/60</f>
        <v>4705.651716935482</v>
      </c>
      <c r="P62" s="169">
        <f t="shared" si="22"/>
        <v>92888.453224999947</v>
      </c>
      <c r="Q62" s="179">
        <f t="shared" si="23"/>
        <v>787974501.31999969</v>
      </c>
      <c r="R62" s="180">
        <f t="shared" si="24"/>
        <v>2996.401716935482</v>
      </c>
    </row>
    <row r="63" spans="1:18" x14ac:dyDescent="0.25">
      <c r="A63" s="5">
        <v>2029</v>
      </c>
      <c r="B63" s="169">
        <f>'Trip Calculation'!I18</f>
        <v>109.53333333333332</v>
      </c>
      <c r="C63" s="171">
        <f>'Trip Calculation'!J18*'Other Factors'!$B$21</f>
        <v>0</v>
      </c>
      <c r="D63" s="171">
        <f>'Trip Calculation'!K18*'Other Factors'!$C$21</f>
        <v>0</v>
      </c>
      <c r="E63" s="171">
        <f>'Trip Calculation'!L18*'Other Factors'!$D$21</f>
        <v>70648.999999999985</v>
      </c>
      <c r="F63" s="170">
        <f t="shared" si="20"/>
        <v>70648.999999999985</v>
      </c>
      <c r="G63" s="179">
        <f>F63*'Other Factors'!$B$9*'Other Factors'!$B$5</f>
        <v>599316799.99999988</v>
      </c>
      <c r="H63" s="174">
        <f>(('Trip Calculation'!J18*'Other Factors'!$B$23)+('Trip Calculation'!K18*'Other Factors'!$C$23)+('Trip Calculation'!L18*'Other Factors'!$D$23))/60</f>
        <v>2279</v>
      </c>
      <c r="I63" s="169">
        <f>'Trip Calculation'!I62</f>
        <v>139.91116666666665</v>
      </c>
      <c r="J63" s="176">
        <f>'Trip Calculation'!J62*'Other Factors'!$E$21</f>
        <v>124530.34229999997</v>
      </c>
      <c r="K63" s="171">
        <f>'Trip Calculation'!K62*'Other Factors'!$F$21</f>
        <v>44594.093999999983</v>
      </c>
      <c r="L63" s="176">
        <f>'Trip Calculation'!L62*'Other Factors'!$G$21</f>
        <v>25375.834666666662</v>
      </c>
      <c r="M63" s="177">
        <f t="shared" si="21"/>
        <v>194500.27096666661</v>
      </c>
      <c r="N63" s="179">
        <f>M63*'Other Factors'!$B$9*'Other Factors'!$B$5</f>
        <v>1649949468.4266663</v>
      </c>
      <c r="O63" s="178">
        <f>(('Trip Calculation'!J62*'Other Factors'!$E$23)+('Trip Calculation'!K62*'Other Factors'!$F$23)+('Trip Calculation'!L62*'Other Factors'!$G$23))/60</f>
        <v>6274.2022892473096</v>
      </c>
      <c r="P63" s="169">
        <f t="shared" si="22"/>
        <v>123851.27096666662</v>
      </c>
      <c r="Q63" s="179">
        <f t="shared" si="23"/>
        <v>1050632668.4266664</v>
      </c>
      <c r="R63" s="180">
        <f t="shared" si="24"/>
        <v>3995.2022892473096</v>
      </c>
    </row>
    <row r="64" spans="1:18" x14ac:dyDescent="0.25">
      <c r="A64" s="5">
        <v>2030</v>
      </c>
      <c r="B64" s="169">
        <f>'Trip Calculation'!I19</f>
        <v>136.91666666666666</v>
      </c>
      <c r="C64" s="171">
        <f>'Trip Calculation'!J19*'Other Factors'!$B$21</f>
        <v>0</v>
      </c>
      <c r="D64" s="171">
        <f>'Trip Calculation'!K19*'Other Factors'!$C$21</f>
        <v>0</v>
      </c>
      <c r="E64" s="171">
        <f>'Trip Calculation'!L19*'Other Factors'!$D$21</f>
        <v>88311.25</v>
      </c>
      <c r="F64" s="170">
        <f t="shared" si="20"/>
        <v>88311.25</v>
      </c>
      <c r="G64" s="179">
        <f>F64*'Other Factors'!$B$9*'Other Factors'!$B$5</f>
        <v>749146000</v>
      </c>
      <c r="H64" s="174">
        <f>(('Trip Calculation'!J19*'Other Factors'!$B$23)+('Trip Calculation'!K19*'Other Factors'!$C$23)+('Trip Calculation'!L19*'Other Factors'!$D$23))/60</f>
        <v>2848.75</v>
      </c>
      <c r="I64" s="169">
        <f>'Trip Calculation'!I63</f>
        <v>174.88895833333331</v>
      </c>
      <c r="J64" s="176">
        <f>'Trip Calculation'!J63*'Other Factors'!$E$21</f>
        <v>155662.92787499996</v>
      </c>
      <c r="K64" s="171">
        <f>'Trip Calculation'!K63*'Other Factors'!$F$21</f>
        <v>55742.617499999978</v>
      </c>
      <c r="L64" s="176">
        <f>'Trip Calculation'!L63*'Other Factors'!$G$21</f>
        <v>31719.793333333328</v>
      </c>
      <c r="M64" s="177">
        <f t="shared" si="21"/>
        <v>243125.33870833326</v>
      </c>
      <c r="N64" s="179">
        <f>M64*'Other Factors'!$B$9*'Other Factors'!$B$5</f>
        <v>2062436835.5333328</v>
      </c>
      <c r="O64" s="178">
        <f>(('Trip Calculation'!J63*'Other Factors'!$E$23)+('Trip Calculation'!K63*'Other Factors'!$F$23)+('Trip Calculation'!L63*'Other Factors'!$G$23))/60</f>
        <v>7842.7528615591382</v>
      </c>
      <c r="P64" s="169">
        <f t="shared" si="22"/>
        <v>154814.08870833326</v>
      </c>
      <c r="Q64" s="179">
        <f t="shared" si="23"/>
        <v>1313290835.5333328</v>
      </c>
      <c r="R64" s="180">
        <f t="shared" si="24"/>
        <v>4994.0028615591382</v>
      </c>
    </row>
    <row r="65" spans="1:18" x14ac:dyDescent="0.25">
      <c r="A65" s="5">
        <v>2031</v>
      </c>
      <c r="B65" s="169">
        <f>'Trip Calculation'!I20</f>
        <v>164.29999999999998</v>
      </c>
      <c r="C65" s="171">
        <f>'Trip Calculation'!J20*'Other Factors'!$B$21</f>
        <v>0</v>
      </c>
      <c r="D65" s="171">
        <f>'Trip Calculation'!K20*'Other Factors'!$C$21</f>
        <v>0</v>
      </c>
      <c r="E65" s="171">
        <f>'Trip Calculation'!L20*'Other Factors'!$D$21</f>
        <v>105973.49999999999</v>
      </c>
      <c r="F65" s="170">
        <f t="shared" si="20"/>
        <v>105973.49999999999</v>
      </c>
      <c r="G65" s="179">
        <f>F65*'Other Factors'!$B$9*'Other Factors'!$B$5</f>
        <v>898975200</v>
      </c>
      <c r="H65" s="174">
        <f>(('Trip Calculation'!J20*'Other Factors'!$B$23)+('Trip Calculation'!K20*'Other Factors'!$C$23)+('Trip Calculation'!L20*'Other Factors'!$D$23))/60</f>
        <v>3418.5</v>
      </c>
      <c r="I65" s="169">
        <f>'Trip Calculation'!I64</f>
        <v>209.86674999999997</v>
      </c>
      <c r="J65" s="176">
        <f>'Trip Calculation'!J64*'Other Factors'!$E$21</f>
        <v>186795.51344999994</v>
      </c>
      <c r="K65" s="171">
        <f>'Trip Calculation'!K64*'Other Factors'!$F$21</f>
        <v>66891.140999999989</v>
      </c>
      <c r="L65" s="176">
        <f>'Trip Calculation'!L64*'Other Factors'!$G$21</f>
        <v>38063.751999999993</v>
      </c>
      <c r="M65" s="177">
        <f t="shared" si="21"/>
        <v>291750.40644999989</v>
      </c>
      <c r="N65" s="179">
        <f>M65*'Other Factors'!$B$9*'Other Factors'!$B$5</f>
        <v>2474924202.6399994</v>
      </c>
      <c r="O65" s="178">
        <f>(('Trip Calculation'!J64*'Other Factors'!$E$23)+('Trip Calculation'!K64*'Other Factors'!$F$23)+('Trip Calculation'!L64*'Other Factors'!$G$23))/60</f>
        <v>9411.303433870964</v>
      </c>
      <c r="P65" s="169">
        <f t="shared" si="22"/>
        <v>185776.90644999989</v>
      </c>
      <c r="Q65" s="179">
        <f t="shared" si="23"/>
        <v>1575949002.6399994</v>
      </c>
      <c r="R65" s="180">
        <f t="shared" si="24"/>
        <v>5992.803433870964</v>
      </c>
    </row>
    <row r="66" spans="1:18" x14ac:dyDescent="0.25">
      <c r="A66" s="5">
        <v>2032</v>
      </c>
      <c r="B66" s="169">
        <f>'Trip Calculation'!I21</f>
        <v>199.89833333333331</v>
      </c>
      <c r="C66" s="171">
        <f>'Trip Calculation'!J21*'Other Factors'!$B$21</f>
        <v>0</v>
      </c>
      <c r="D66" s="171">
        <f>'Trip Calculation'!K21*'Other Factors'!$C$21</f>
        <v>0</v>
      </c>
      <c r="E66" s="171">
        <f>'Trip Calculation'!L21*'Other Factors'!$D$21</f>
        <v>128934.42499999999</v>
      </c>
      <c r="F66" s="170">
        <f t="shared" si="20"/>
        <v>128934.42499999999</v>
      </c>
      <c r="G66" s="179">
        <f>F66*'Other Factors'!$B$9*'Other Factors'!$B$5</f>
        <v>1093753160</v>
      </c>
      <c r="H66" s="174">
        <f>(('Trip Calculation'!J21*'Other Factors'!$B$23)+('Trip Calculation'!K21*'Other Factors'!$C$23)+('Trip Calculation'!L21*'Other Factors'!$D$23))/60</f>
        <v>4159.1750000000002</v>
      </c>
      <c r="I66" s="169">
        <f>'Trip Calculation'!I65</f>
        <v>255.33787916666662</v>
      </c>
      <c r="J66" s="176">
        <f>'Trip Calculation'!J65*'Other Factors'!$E$21</f>
        <v>227267.87469749997</v>
      </c>
      <c r="K66" s="171">
        <f>'Trip Calculation'!K65*'Other Factors'!$F$21</f>
        <v>81384.221549999973</v>
      </c>
      <c r="L66" s="176">
        <f>'Trip Calculation'!L65*'Other Factors'!$G$21</f>
        <v>46310.898266666663</v>
      </c>
      <c r="M66" s="177">
        <f t="shared" si="21"/>
        <v>354962.99451416661</v>
      </c>
      <c r="N66" s="179">
        <f>M66*'Other Factors'!$B$9*'Other Factors'!$B$5</f>
        <v>3011157779.8786664</v>
      </c>
      <c r="O66" s="178">
        <f>(('Trip Calculation'!J65*'Other Factors'!$E$23)+('Trip Calculation'!K65*'Other Factors'!$F$23)+('Trip Calculation'!L65*'Other Factors'!$G$23))/60</f>
        <v>11450.419177876342</v>
      </c>
      <c r="P66" s="169">
        <f t="shared" si="22"/>
        <v>226028.56951416662</v>
      </c>
      <c r="Q66" s="179">
        <f t="shared" si="23"/>
        <v>1917404619.8786664</v>
      </c>
      <c r="R66" s="180">
        <f t="shared" si="24"/>
        <v>7291.2441778763414</v>
      </c>
    </row>
    <row r="67" spans="1:18" x14ac:dyDescent="0.25">
      <c r="A67" s="5">
        <v>2033</v>
      </c>
      <c r="B67" s="169">
        <f>'Trip Calculation'!I22</f>
        <v>199.89833333333331</v>
      </c>
      <c r="C67" s="171">
        <f>'Trip Calculation'!J22*'Other Factors'!$B$21</f>
        <v>0</v>
      </c>
      <c r="D67" s="171">
        <f>'Trip Calculation'!K22*'Other Factors'!$C$21</f>
        <v>0</v>
      </c>
      <c r="E67" s="171">
        <f>'Trip Calculation'!L22*'Other Factors'!$D$21</f>
        <v>128934.42499999999</v>
      </c>
      <c r="F67" s="170">
        <f t="shared" si="20"/>
        <v>128934.42499999999</v>
      </c>
      <c r="G67" s="179">
        <f>F67*'Other Factors'!$B$9*'Other Factors'!$B$5</f>
        <v>1093753160</v>
      </c>
      <c r="H67" s="174">
        <f>(('Trip Calculation'!J22*'Other Factors'!$B$23)+('Trip Calculation'!K22*'Other Factors'!$C$23)+('Trip Calculation'!L22*'Other Factors'!$D$23))/60</f>
        <v>4159.1750000000002</v>
      </c>
      <c r="I67" s="169">
        <f>'Trip Calculation'!I66</f>
        <v>255.33787916666662</v>
      </c>
      <c r="J67" s="176">
        <f>'Trip Calculation'!J66*'Other Factors'!$E$21</f>
        <v>227267.87469749997</v>
      </c>
      <c r="K67" s="171">
        <f>'Trip Calculation'!K66*'Other Factors'!$F$21</f>
        <v>81384.221549999973</v>
      </c>
      <c r="L67" s="176">
        <f>'Trip Calculation'!L66*'Other Factors'!$G$21</f>
        <v>46310.898266666663</v>
      </c>
      <c r="M67" s="177">
        <f t="shared" si="21"/>
        <v>354962.99451416661</v>
      </c>
      <c r="N67" s="179">
        <f>M67*'Other Factors'!$B$9*'Other Factors'!$B$5</f>
        <v>3011157779.8786664</v>
      </c>
      <c r="O67" s="178">
        <f>(('Trip Calculation'!J66*'Other Factors'!$E$23)+('Trip Calculation'!K66*'Other Factors'!$F$23)+('Trip Calculation'!L66*'Other Factors'!$G$23))/60</f>
        <v>11450.419177876342</v>
      </c>
      <c r="P67" s="169">
        <f t="shared" si="22"/>
        <v>226028.56951416662</v>
      </c>
      <c r="Q67" s="179">
        <f t="shared" si="23"/>
        <v>1917404619.8786664</v>
      </c>
      <c r="R67" s="180">
        <f t="shared" si="24"/>
        <v>7291.2441778763414</v>
      </c>
    </row>
    <row r="68" spans="1:18" x14ac:dyDescent="0.25">
      <c r="A68" s="5">
        <v>2034</v>
      </c>
      <c r="B68" s="169">
        <f>'Trip Calculation'!I23</f>
        <v>199.89833333333331</v>
      </c>
      <c r="C68" s="171">
        <f>'Trip Calculation'!J23*'Other Factors'!$B$21</f>
        <v>0</v>
      </c>
      <c r="D68" s="171">
        <f>'Trip Calculation'!K23*'Other Factors'!$C$21</f>
        <v>0</v>
      </c>
      <c r="E68" s="171">
        <f>'Trip Calculation'!L23*'Other Factors'!$D$21</f>
        <v>128934.42499999999</v>
      </c>
      <c r="F68" s="170">
        <f t="shared" si="20"/>
        <v>128934.42499999999</v>
      </c>
      <c r="G68" s="179">
        <f>F68*'Other Factors'!$B$9*'Other Factors'!$B$5</f>
        <v>1093753160</v>
      </c>
      <c r="H68" s="174">
        <f>(('Trip Calculation'!J23*'Other Factors'!$B$23)+('Trip Calculation'!K23*'Other Factors'!$C$23)+('Trip Calculation'!L23*'Other Factors'!$D$23))/60</f>
        <v>4159.1750000000002</v>
      </c>
      <c r="I68" s="169">
        <f>'Trip Calculation'!I67</f>
        <v>255.33787916666662</v>
      </c>
      <c r="J68" s="176">
        <f>'Trip Calculation'!J67*'Other Factors'!$E$21</f>
        <v>227267.87469749997</v>
      </c>
      <c r="K68" s="171">
        <f>'Trip Calculation'!K67*'Other Factors'!$F$21</f>
        <v>81384.221549999973</v>
      </c>
      <c r="L68" s="176">
        <f>'Trip Calculation'!L67*'Other Factors'!$G$21</f>
        <v>46310.898266666663</v>
      </c>
      <c r="M68" s="177">
        <f t="shared" si="21"/>
        <v>354962.99451416661</v>
      </c>
      <c r="N68" s="179">
        <f>M68*'Other Factors'!$B$9*'Other Factors'!$B$5</f>
        <v>3011157779.8786664</v>
      </c>
      <c r="O68" s="178">
        <f>(('Trip Calculation'!J67*'Other Factors'!$E$23)+('Trip Calculation'!K67*'Other Factors'!$F$23)+('Trip Calculation'!L67*'Other Factors'!$G$23))/60</f>
        <v>11450.419177876342</v>
      </c>
      <c r="P68" s="169">
        <f t="shared" si="22"/>
        <v>226028.56951416662</v>
      </c>
      <c r="Q68" s="179">
        <f t="shared" si="23"/>
        <v>1917404619.8786664</v>
      </c>
      <c r="R68" s="180">
        <f t="shared" si="24"/>
        <v>7291.2441778763414</v>
      </c>
    </row>
    <row r="69" spans="1:18" x14ac:dyDescent="0.25">
      <c r="A69" s="5">
        <v>2035</v>
      </c>
      <c r="B69" s="169">
        <f>'Trip Calculation'!I24</f>
        <v>199.89833333333331</v>
      </c>
      <c r="C69" s="171">
        <f>'Trip Calculation'!J24*'Other Factors'!$B$21</f>
        <v>0</v>
      </c>
      <c r="D69" s="171">
        <f>'Trip Calculation'!K24*'Other Factors'!$C$21</f>
        <v>0</v>
      </c>
      <c r="E69" s="171">
        <f>'Trip Calculation'!L24*'Other Factors'!$D$21</f>
        <v>128934.42499999999</v>
      </c>
      <c r="F69" s="170">
        <f t="shared" si="20"/>
        <v>128934.42499999999</v>
      </c>
      <c r="G69" s="179">
        <f>F69*'Other Factors'!$B$9*'Other Factors'!$B$5</f>
        <v>1093753160</v>
      </c>
      <c r="H69" s="174">
        <f>(('Trip Calculation'!J24*'Other Factors'!$B$23)+('Trip Calculation'!K24*'Other Factors'!$C$23)+('Trip Calculation'!L24*'Other Factors'!$D$23))/60</f>
        <v>4159.1750000000002</v>
      </c>
      <c r="I69" s="169">
        <f>'Trip Calculation'!I68</f>
        <v>255.33787916666662</v>
      </c>
      <c r="J69" s="176">
        <f>'Trip Calculation'!J68*'Other Factors'!$E$21</f>
        <v>227267.87469749997</v>
      </c>
      <c r="K69" s="171">
        <f>'Trip Calculation'!K68*'Other Factors'!$F$21</f>
        <v>81384.221549999973</v>
      </c>
      <c r="L69" s="176">
        <f>'Trip Calculation'!L68*'Other Factors'!$G$21</f>
        <v>46310.898266666663</v>
      </c>
      <c r="M69" s="177">
        <f t="shared" si="21"/>
        <v>354962.99451416661</v>
      </c>
      <c r="N69" s="179">
        <f>M69*'Other Factors'!$B$9*'Other Factors'!$B$5</f>
        <v>3011157779.8786664</v>
      </c>
      <c r="O69" s="178">
        <f>(('Trip Calculation'!J68*'Other Factors'!$E$23)+('Trip Calculation'!K68*'Other Factors'!$F$23)+('Trip Calculation'!L68*'Other Factors'!$G$23))/60</f>
        <v>11450.419177876342</v>
      </c>
      <c r="P69" s="169">
        <f t="shared" si="22"/>
        <v>226028.56951416662</v>
      </c>
      <c r="Q69" s="179">
        <f t="shared" si="23"/>
        <v>1917404619.8786664</v>
      </c>
      <c r="R69" s="180">
        <f t="shared" si="24"/>
        <v>7291.2441778763414</v>
      </c>
    </row>
    <row r="70" spans="1:18" x14ac:dyDescent="0.25">
      <c r="A70" s="5">
        <v>2036</v>
      </c>
      <c r="B70" s="169">
        <f>'Trip Calculation'!I25</f>
        <v>199.89833333333331</v>
      </c>
      <c r="C70" s="171">
        <f>'Trip Calculation'!J25*'Other Factors'!$B$21</f>
        <v>0</v>
      </c>
      <c r="D70" s="171">
        <f>'Trip Calculation'!K25*'Other Factors'!$C$21</f>
        <v>0</v>
      </c>
      <c r="E70" s="171">
        <f>'Trip Calculation'!L25*'Other Factors'!$D$21</f>
        <v>128934.42499999999</v>
      </c>
      <c r="F70" s="170">
        <f t="shared" si="20"/>
        <v>128934.42499999999</v>
      </c>
      <c r="G70" s="179">
        <f>F70*'Other Factors'!$B$9*'Other Factors'!$B$5</f>
        <v>1093753160</v>
      </c>
      <c r="H70" s="174">
        <f>(('Trip Calculation'!J25*'Other Factors'!$B$23)+('Trip Calculation'!K25*'Other Factors'!$C$23)+('Trip Calculation'!L25*'Other Factors'!$D$23))/60</f>
        <v>4159.1750000000002</v>
      </c>
      <c r="I70" s="169">
        <f>'Trip Calculation'!I69</f>
        <v>255.33787916666662</v>
      </c>
      <c r="J70" s="176">
        <f>'Trip Calculation'!J69*'Other Factors'!$E$21</f>
        <v>227267.87469749997</v>
      </c>
      <c r="K70" s="171">
        <f>'Trip Calculation'!K69*'Other Factors'!$F$21</f>
        <v>81384.221549999973</v>
      </c>
      <c r="L70" s="176">
        <f>'Trip Calculation'!L69*'Other Factors'!$G$21</f>
        <v>46310.898266666663</v>
      </c>
      <c r="M70" s="177">
        <f t="shared" si="21"/>
        <v>354962.99451416661</v>
      </c>
      <c r="N70" s="179">
        <f>M70*'Other Factors'!$B$9*'Other Factors'!$B$5</f>
        <v>3011157779.8786664</v>
      </c>
      <c r="O70" s="178">
        <f>(('Trip Calculation'!J69*'Other Factors'!$E$23)+('Trip Calculation'!K69*'Other Factors'!$F$23)+('Trip Calculation'!L69*'Other Factors'!$G$23))/60</f>
        <v>11450.419177876342</v>
      </c>
      <c r="P70" s="169">
        <f t="shared" si="22"/>
        <v>226028.56951416662</v>
      </c>
      <c r="Q70" s="179">
        <f t="shared" si="23"/>
        <v>1917404619.8786664</v>
      </c>
      <c r="R70" s="180">
        <f t="shared" si="24"/>
        <v>7291.2441778763414</v>
      </c>
    </row>
    <row r="71" spans="1:18" x14ac:dyDescent="0.25">
      <c r="A71" s="5">
        <v>2037</v>
      </c>
      <c r="B71" s="169">
        <f>'Trip Calculation'!I26</f>
        <v>199.89833333333331</v>
      </c>
      <c r="C71" s="171">
        <f>'Trip Calculation'!J26*'Other Factors'!$B$21</f>
        <v>0</v>
      </c>
      <c r="D71" s="171">
        <f>'Trip Calculation'!K26*'Other Factors'!$C$21</f>
        <v>0</v>
      </c>
      <c r="E71" s="171">
        <f>'Trip Calculation'!L26*'Other Factors'!$D$21</f>
        <v>128934.42499999999</v>
      </c>
      <c r="F71" s="170">
        <f t="shared" si="20"/>
        <v>128934.42499999999</v>
      </c>
      <c r="G71" s="179">
        <f>F71*'Other Factors'!$B$9*'Other Factors'!$B$5</f>
        <v>1093753160</v>
      </c>
      <c r="H71" s="174">
        <f>(('Trip Calculation'!J26*'Other Factors'!$B$23)+('Trip Calculation'!K26*'Other Factors'!$C$23)+('Trip Calculation'!L26*'Other Factors'!$D$23))/60</f>
        <v>4159.1750000000002</v>
      </c>
      <c r="I71" s="169">
        <f>'Trip Calculation'!I70</f>
        <v>255.33787916666662</v>
      </c>
      <c r="J71" s="176">
        <f>'Trip Calculation'!J70*'Other Factors'!$E$21</f>
        <v>227267.87469749997</v>
      </c>
      <c r="K71" s="171">
        <f>'Trip Calculation'!K70*'Other Factors'!$F$21</f>
        <v>81384.221549999973</v>
      </c>
      <c r="L71" s="176">
        <f>'Trip Calculation'!L70*'Other Factors'!$G$21</f>
        <v>46310.898266666663</v>
      </c>
      <c r="M71" s="177">
        <f t="shared" si="21"/>
        <v>354962.99451416661</v>
      </c>
      <c r="N71" s="179">
        <f>M71*'Other Factors'!$B$9*'Other Factors'!$B$5</f>
        <v>3011157779.8786664</v>
      </c>
      <c r="O71" s="178">
        <f>(('Trip Calculation'!J70*'Other Factors'!$E$23)+('Trip Calculation'!K70*'Other Factors'!$F$23)+('Trip Calculation'!L70*'Other Factors'!$G$23))/60</f>
        <v>11450.419177876342</v>
      </c>
      <c r="P71" s="169">
        <f t="shared" si="22"/>
        <v>226028.56951416662</v>
      </c>
      <c r="Q71" s="179">
        <f t="shared" si="23"/>
        <v>1917404619.8786664</v>
      </c>
      <c r="R71" s="180">
        <f t="shared" si="24"/>
        <v>7291.2441778763414</v>
      </c>
    </row>
    <row r="72" spans="1:18" x14ac:dyDescent="0.25">
      <c r="A72" s="5">
        <v>2038</v>
      </c>
      <c r="B72" s="169">
        <f>'Trip Calculation'!I27</f>
        <v>199.89833333333331</v>
      </c>
      <c r="C72" s="171">
        <f>'Trip Calculation'!J27*'Other Factors'!$B$21</f>
        <v>0</v>
      </c>
      <c r="D72" s="171">
        <f>'Trip Calculation'!K27*'Other Factors'!$C$21</f>
        <v>0</v>
      </c>
      <c r="E72" s="171">
        <f>'Trip Calculation'!L27*'Other Factors'!$D$21</f>
        <v>128934.42499999999</v>
      </c>
      <c r="F72" s="170">
        <f t="shared" si="20"/>
        <v>128934.42499999999</v>
      </c>
      <c r="G72" s="179">
        <f>F72*'Other Factors'!$B$9*'Other Factors'!$B$5</f>
        <v>1093753160</v>
      </c>
      <c r="H72" s="174">
        <f>(('Trip Calculation'!J27*'Other Factors'!$B$23)+('Trip Calculation'!K27*'Other Factors'!$C$23)+('Trip Calculation'!L27*'Other Factors'!$D$23))/60</f>
        <v>4159.1750000000002</v>
      </c>
      <c r="I72" s="169">
        <f>'Trip Calculation'!I71</f>
        <v>255.33787916666662</v>
      </c>
      <c r="J72" s="176">
        <f>'Trip Calculation'!J71*'Other Factors'!$E$21</f>
        <v>227267.87469749997</v>
      </c>
      <c r="K72" s="171">
        <f>'Trip Calculation'!K71*'Other Factors'!$F$21</f>
        <v>81384.221549999973</v>
      </c>
      <c r="L72" s="176">
        <f>'Trip Calculation'!L71*'Other Factors'!$G$21</f>
        <v>46310.898266666663</v>
      </c>
      <c r="M72" s="177">
        <f t="shared" si="21"/>
        <v>354962.99451416661</v>
      </c>
      <c r="N72" s="179">
        <f>M72*'Other Factors'!$B$9*'Other Factors'!$B$5</f>
        <v>3011157779.8786664</v>
      </c>
      <c r="O72" s="178">
        <f>(('Trip Calculation'!J71*'Other Factors'!$E$23)+('Trip Calculation'!K71*'Other Factors'!$F$23)+('Trip Calculation'!L71*'Other Factors'!$G$23))/60</f>
        <v>11450.419177876342</v>
      </c>
      <c r="P72" s="169">
        <f t="shared" si="22"/>
        <v>226028.56951416662</v>
      </c>
      <c r="Q72" s="179">
        <f t="shared" si="23"/>
        <v>1917404619.8786664</v>
      </c>
      <c r="R72" s="180">
        <f t="shared" si="24"/>
        <v>7291.2441778763414</v>
      </c>
    </row>
    <row r="73" spans="1:18" x14ac:dyDescent="0.25">
      <c r="A73" s="5">
        <v>2039</v>
      </c>
      <c r="B73" s="169">
        <f>'Trip Calculation'!I28</f>
        <v>199.89833333333331</v>
      </c>
      <c r="C73" s="171">
        <f>'Trip Calculation'!J28*'Other Factors'!$B$21</f>
        <v>0</v>
      </c>
      <c r="D73" s="171">
        <f>'Trip Calculation'!K28*'Other Factors'!$C$21</f>
        <v>0</v>
      </c>
      <c r="E73" s="171">
        <f>'Trip Calculation'!L28*'Other Factors'!$D$21</f>
        <v>128934.42499999999</v>
      </c>
      <c r="F73" s="170">
        <f t="shared" si="20"/>
        <v>128934.42499999999</v>
      </c>
      <c r="G73" s="179">
        <f>F73*'Other Factors'!$B$9*'Other Factors'!$B$5</f>
        <v>1093753160</v>
      </c>
      <c r="H73" s="174">
        <f>(('Trip Calculation'!J28*'Other Factors'!$B$23)+('Trip Calculation'!K28*'Other Factors'!$C$23)+('Trip Calculation'!L28*'Other Factors'!$D$23))/60</f>
        <v>4159.1750000000002</v>
      </c>
      <c r="I73" s="169">
        <f>'Trip Calculation'!I72</f>
        <v>255.33787916666662</v>
      </c>
      <c r="J73" s="176">
        <f>'Trip Calculation'!J72*'Other Factors'!$E$21</f>
        <v>227267.87469749997</v>
      </c>
      <c r="K73" s="171">
        <f>'Trip Calculation'!K72*'Other Factors'!$F$21</f>
        <v>81384.221549999973</v>
      </c>
      <c r="L73" s="176">
        <f>'Trip Calculation'!L72*'Other Factors'!$G$21</f>
        <v>46310.898266666663</v>
      </c>
      <c r="M73" s="177">
        <f t="shared" si="21"/>
        <v>354962.99451416661</v>
      </c>
      <c r="N73" s="179">
        <f>M73*'Other Factors'!$B$9*'Other Factors'!$B$5</f>
        <v>3011157779.8786664</v>
      </c>
      <c r="O73" s="178">
        <f>(('Trip Calculation'!J72*'Other Factors'!$E$23)+('Trip Calculation'!K72*'Other Factors'!$F$23)+('Trip Calculation'!L72*'Other Factors'!$G$23))/60</f>
        <v>11450.419177876342</v>
      </c>
      <c r="P73" s="169">
        <f t="shared" si="22"/>
        <v>226028.56951416662</v>
      </c>
      <c r="Q73" s="179">
        <f t="shared" si="23"/>
        <v>1917404619.8786664</v>
      </c>
      <c r="R73" s="180">
        <f t="shared" si="24"/>
        <v>7291.2441778763414</v>
      </c>
    </row>
    <row r="74" spans="1:18" x14ac:dyDescent="0.25">
      <c r="A74" s="5">
        <v>2040</v>
      </c>
      <c r="B74" s="169">
        <f>'Trip Calculation'!I29</f>
        <v>199.89833333333331</v>
      </c>
      <c r="C74" s="171">
        <f>'Trip Calculation'!J29*'Other Factors'!$B$21</f>
        <v>0</v>
      </c>
      <c r="D74" s="171">
        <f>'Trip Calculation'!K29*'Other Factors'!$C$21</f>
        <v>0</v>
      </c>
      <c r="E74" s="171">
        <f>'Trip Calculation'!L29*'Other Factors'!$D$21</f>
        <v>128934.42499999999</v>
      </c>
      <c r="F74" s="170">
        <f t="shared" si="20"/>
        <v>128934.42499999999</v>
      </c>
      <c r="G74" s="179">
        <f>F74*'Other Factors'!$B$9*'Other Factors'!$B$5</f>
        <v>1093753160</v>
      </c>
      <c r="H74" s="174">
        <f>(('Trip Calculation'!J29*'Other Factors'!$B$23)+('Trip Calculation'!K29*'Other Factors'!$C$23)+('Trip Calculation'!L29*'Other Factors'!$D$23))/60</f>
        <v>4159.1750000000002</v>
      </c>
      <c r="I74" s="169">
        <f>'Trip Calculation'!I73</f>
        <v>255.33787916666662</v>
      </c>
      <c r="J74" s="176">
        <f>'Trip Calculation'!J73*'Other Factors'!$E$21</f>
        <v>227267.87469749997</v>
      </c>
      <c r="K74" s="171">
        <f>'Trip Calculation'!K73*'Other Factors'!$F$21</f>
        <v>81384.221549999973</v>
      </c>
      <c r="L74" s="176">
        <f>'Trip Calculation'!L73*'Other Factors'!$G$21</f>
        <v>46310.898266666663</v>
      </c>
      <c r="M74" s="177">
        <f t="shared" si="21"/>
        <v>354962.99451416661</v>
      </c>
      <c r="N74" s="179">
        <f>M74*'Other Factors'!$B$9*'Other Factors'!$B$5</f>
        <v>3011157779.8786664</v>
      </c>
      <c r="O74" s="178">
        <f>(('Trip Calculation'!J73*'Other Factors'!$E$23)+('Trip Calculation'!K73*'Other Factors'!$F$23)+('Trip Calculation'!L73*'Other Factors'!$G$23))/60</f>
        <v>11450.419177876342</v>
      </c>
      <c r="P74" s="169">
        <f t="shared" si="22"/>
        <v>226028.56951416662</v>
      </c>
      <c r="Q74" s="179">
        <f t="shared" si="23"/>
        <v>1917404619.8786664</v>
      </c>
      <c r="R74" s="180">
        <f t="shared" si="24"/>
        <v>7291.2441778763414</v>
      </c>
    </row>
    <row r="75" spans="1:18" x14ac:dyDescent="0.25">
      <c r="A75" s="5">
        <v>2041</v>
      </c>
      <c r="B75" s="169">
        <f>'Trip Calculation'!I30</f>
        <v>199.89833333333331</v>
      </c>
      <c r="C75" s="171">
        <f>'Trip Calculation'!J30*'Other Factors'!$B$21</f>
        <v>0</v>
      </c>
      <c r="D75" s="171">
        <f>'Trip Calculation'!K30*'Other Factors'!$C$21</f>
        <v>0</v>
      </c>
      <c r="E75" s="171">
        <f>'Trip Calculation'!L30*'Other Factors'!$D$21</f>
        <v>128934.42499999999</v>
      </c>
      <c r="F75" s="170">
        <f t="shared" si="20"/>
        <v>128934.42499999999</v>
      </c>
      <c r="G75" s="179">
        <f>F75*'Other Factors'!$B$9*'Other Factors'!$B$5</f>
        <v>1093753160</v>
      </c>
      <c r="H75" s="174">
        <f>(('Trip Calculation'!J30*'Other Factors'!$B$23)+('Trip Calculation'!K30*'Other Factors'!$C$23)+('Trip Calculation'!L30*'Other Factors'!$D$23))/60</f>
        <v>4159.1750000000002</v>
      </c>
      <c r="I75" s="169">
        <f>'Trip Calculation'!I74</f>
        <v>255.33787916666662</v>
      </c>
      <c r="J75" s="176">
        <f>'Trip Calculation'!J74*'Other Factors'!$E$21</f>
        <v>227267.87469749997</v>
      </c>
      <c r="K75" s="171">
        <f>'Trip Calculation'!K74*'Other Factors'!$F$21</f>
        <v>81384.221549999973</v>
      </c>
      <c r="L75" s="176">
        <f>'Trip Calculation'!L74*'Other Factors'!$G$21</f>
        <v>46310.898266666663</v>
      </c>
      <c r="M75" s="177">
        <f t="shared" si="21"/>
        <v>354962.99451416661</v>
      </c>
      <c r="N75" s="179">
        <f>M75*'Other Factors'!$B$9*'Other Factors'!$B$5</f>
        <v>3011157779.8786664</v>
      </c>
      <c r="O75" s="178">
        <f>(('Trip Calculation'!J74*'Other Factors'!$E$23)+('Trip Calculation'!K74*'Other Factors'!$F$23)+('Trip Calculation'!L74*'Other Factors'!$G$23))/60</f>
        <v>11450.419177876342</v>
      </c>
      <c r="P75" s="169">
        <f t="shared" si="22"/>
        <v>226028.56951416662</v>
      </c>
      <c r="Q75" s="179">
        <f t="shared" si="23"/>
        <v>1917404619.8786664</v>
      </c>
      <c r="R75" s="180">
        <f t="shared" si="24"/>
        <v>7291.2441778763414</v>
      </c>
    </row>
    <row r="76" spans="1:18" x14ac:dyDescent="0.25">
      <c r="A76" s="5">
        <v>2042</v>
      </c>
      <c r="B76" s="169">
        <f>'Trip Calculation'!I31</f>
        <v>199.89833333333331</v>
      </c>
      <c r="C76" s="171">
        <f>'Trip Calculation'!J31*'Other Factors'!$B$21</f>
        <v>0</v>
      </c>
      <c r="D76" s="171">
        <f>'Trip Calculation'!K31*'Other Factors'!$C$21</f>
        <v>0</v>
      </c>
      <c r="E76" s="171">
        <f>'Trip Calculation'!L31*'Other Factors'!$D$21</f>
        <v>128934.42499999999</v>
      </c>
      <c r="F76" s="170">
        <f t="shared" si="20"/>
        <v>128934.42499999999</v>
      </c>
      <c r="G76" s="179">
        <f>F76*'Other Factors'!$B$9*'Other Factors'!$B$5</f>
        <v>1093753160</v>
      </c>
      <c r="H76" s="174">
        <f>(('Trip Calculation'!J31*'Other Factors'!$B$23)+('Trip Calculation'!K31*'Other Factors'!$C$23)+('Trip Calculation'!L31*'Other Factors'!$D$23))/60</f>
        <v>4159.1750000000002</v>
      </c>
      <c r="I76" s="169">
        <f>'Trip Calculation'!I75</f>
        <v>255.33787916666662</v>
      </c>
      <c r="J76" s="176">
        <f>'Trip Calculation'!J75*'Other Factors'!$E$21</f>
        <v>227267.87469749997</v>
      </c>
      <c r="K76" s="171">
        <f>'Trip Calculation'!K75*'Other Factors'!$F$21</f>
        <v>81384.221549999973</v>
      </c>
      <c r="L76" s="176">
        <f>'Trip Calculation'!L75*'Other Factors'!$G$21</f>
        <v>46310.898266666663</v>
      </c>
      <c r="M76" s="177">
        <f t="shared" si="21"/>
        <v>354962.99451416661</v>
      </c>
      <c r="N76" s="179">
        <f>M76*'Other Factors'!$B$9*'Other Factors'!$B$5</f>
        <v>3011157779.8786664</v>
      </c>
      <c r="O76" s="178">
        <f>(('Trip Calculation'!J75*'Other Factors'!$E$23)+('Trip Calculation'!K75*'Other Factors'!$F$23)+('Trip Calculation'!L75*'Other Factors'!$G$23))/60</f>
        <v>11450.419177876342</v>
      </c>
      <c r="P76" s="169">
        <f t="shared" si="22"/>
        <v>226028.56951416662</v>
      </c>
      <c r="Q76" s="179">
        <f t="shared" si="23"/>
        <v>1917404619.8786664</v>
      </c>
      <c r="R76" s="180">
        <f t="shared" si="24"/>
        <v>7291.2441778763414</v>
      </c>
    </row>
    <row r="77" spans="1:18" x14ac:dyDescent="0.25">
      <c r="A77" s="5">
        <v>2043</v>
      </c>
      <c r="B77" s="169">
        <f>'Trip Calculation'!I32</f>
        <v>199.89833333333331</v>
      </c>
      <c r="C77" s="171">
        <f>'Trip Calculation'!J32*'Other Factors'!$B$21</f>
        <v>0</v>
      </c>
      <c r="D77" s="171">
        <f>'Trip Calculation'!K32*'Other Factors'!$C$21</f>
        <v>0</v>
      </c>
      <c r="E77" s="171">
        <f>'Trip Calculation'!L32*'Other Factors'!$D$21</f>
        <v>128934.42499999999</v>
      </c>
      <c r="F77" s="170">
        <f t="shared" si="20"/>
        <v>128934.42499999999</v>
      </c>
      <c r="G77" s="179">
        <f>F77*'Other Factors'!$B$9*'Other Factors'!$B$5</f>
        <v>1093753160</v>
      </c>
      <c r="H77" s="174">
        <f>(('Trip Calculation'!J32*'Other Factors'!$B$23)+('Trip Calculation'!K32*'Other Factors'!$C$23)+('Trip Calculation'!L32*'Other Factors'!$D$23))/60</f>
        <v>4159.1750000000002</v>
      </c>
      <c r="I77" s="169">
        <f>'Trip Calculation'!I76</f>
        <v>255.33787916666662</v>
      </c>
      <c r="J77" s="176">
        <f>'Trip Calculation'!J76*'Other Factors'!$E$21</f>
        <v>227267.87469749997</v>
      </c>
      <c r="K77" s="171">
        <f>'Trip Calculation'!K76*'Other Factors'!$F$21</f>
        <v>81384.221549999973</v>
      </c>
      <c r="L77" s="176">
        <f>'Trip Calculation'!L76*'Other Factors'!$G$21</f>
        <v>46310.898266666663</v>
      </c>
      <c r="M77" s="177">
        <f t="shared" si="21"/>
        <v>354962.99451416661</v>
      </c>
      <c r="N77" s="179">
        <f>M77*'Other Factors'!$B$9*'Other Factors'!$B$5</f>
        <v>3011157779.8786664</v>
      </c>
      <c r="O77" s="178">
        <f>(('Trip Calculation'!J76*'Other Factors'!$E$23)+('Trip Calculation'!K76*'Other Factors'!$F$23)+('Trip Calculation'!L76*'Other Factors'!$G$23))/60</f>
        <v>11450.419177876342</v>
      </c>
      <c r="P77" s="169">
        <f t="shared" si="22"/>
        <v>226028.56951416662</v>
      </c>
      <c r="Q77" s="179">
        <f t="shared" si="23"/>
        <v>1917404619.8786664</v>
      </c>
      <c r="R77" s="180">
        <f t="shared" si="24"/>
        <v>7291.2441778763414</v>
      </c>
    </row>
    <row r="78" spans="1:18" x14ac:dyDescent="0.25">
      <c r="A78" s="5">
        <v>2044</v>
      </c>
      <c r="B78" s="169">
        <f>'Trip Calculation'!I33</f>
        <v>199.89833333333331</v>
      </c>
      <c r="C78" s="171">
        <f>'Trip Calculation'!J33*'Other Factors'!$B$21</f>
        <v>0</v>
      </c>
      <c r="D78" s="171">
        <f>'Trip Calculation'!K33*'Other Factors'!$C$21</f>
        <v>0</v>
      </c>
      <c r="E78" s="171">
        <f>'Trip Calculation'!L33*'Other Factors'!$D$21</f>
        <v>128934.42499999999</v>
      </c>
      <c r="F78" s="170">
        <f t="shared" si="20"/>
        <v>128934.42499999999</v>
      </c>
      <c r="G78" s="179">
        <f>F78*'Other Factors'!$B$9*'Other Factors'!$B$5</f>
        <v>1093753160</v>
      </c>
      <c r="H78" s="174">
        <f>(('Trip Calculation'!J33*'Other Factors'!$B$23)+('Trip Calculation'!K33*'Other Factors'!$C$23)+('Trip Calculation'!L33*'Other Factors'!$D$23))/60</f>
        <v>4159.1750000000002</v>
      </c>
      <c r="I78" s="169">
        <f>'Trip Calculation'!I77</f>
        <v>255.33787916666662</v>
      </c>
      <c r="J78" s="176">
        <f>'Trip Calculation'!J77*'Other Factors'!$E$21</f>
        <v>227267.87469749997</v>
      </c>
      <c r="K78" s="171">
        <f>'Trip Calculation'!K77*'Other Factors'!$F$21</f>
        <v>81384.221549999973</v>
      </c>
      <c r="L78" s="176">
        <f>'Trip Calculation'!L77*'Other Factors'!$G$21</f>
        <v>46310.898266666663</v>
      </c>
      <c r="M78" s="177">
        <f t="shared" si="21"/>
        <v>354962.99451416661</v>
      </c>
      <c r="N78" s="179">
        <f>M78*'Other Factors'!$B$9*'Other Factors'!$B$5</f>
        <v>3011157779.8786664</v>
      </c>
      <c r="O78" s="178">
        <f>(('Trip Calculation'!J77*'Other Factors'!$E$23)+('Trip Calculation'!K77*'Other Factors'!$F$23)+('Trip Calculation'!L77*'Other Factors'!$G$23))/60</f>
        <v>11450.419177876342</v>
      </c>
      <c r="P78" s="175">
        <f t="shared" si="22"/>
        <v>226028.56951416662</v>
      </c>
      <c r="Q78" s="179">
        <f t="shared" si="23"/>
        <v>1917404619.8786664</v>
      </c>
      <c r="R78" s="180">
        <f t="shared" si="24"/>
        <v>7291.2441778763414</v>
      </c>
    </row>
    <row r="79" spans="1:18" x14ac:dyDescent="0.25">
      <c r="A79" s="5">
        <v>2045</v>
      </c>
      <c r="B79" s="169">
        <f>'Trip Calculation'!I34</f>
        <v>199.89833333333331</v>
      </c>
      <c r="C79" s="171">
        <f>'Trip Calculation'!J34*'Other Factors'!$B$21</f>
        <v>0</v>
      </c>
      <c r="D79" s="171">
        <f>'Trip Calculation'!K34*'Other Factors'!$C$21</f>
        <v>0</v>
      </c>
      <c r="E79" s="171">
        <f>'Trip Calculation'!L34*'Other Factors'!$D$21</f>
        <v>128934.42499999999</v>
      </c>
      <c r="F79" s="170">
        <f t="shared" si="20"/>
        <v>128934.42499999999</v>
      </c>
      <c r="G79" s="179">
        <f>F79*'Other Factors'!$B$9*'Other Factors'!$B$5</f>
        <v>1093753160</v>
      </c>
      <c r="H79" s="174">
        <f>(('Trip Calculation'!J34*'Other Factors'!$B$23)+('Trip Calculation'!K34*'Other Factors'!$C$23)+('Trip Calculation'!L34*'Other Factors'!$D$23))/60</f>
        <v>4159.1750000000002</v>
      </c>
      <c r="I79" s="169">
        <f>'Trip Calculation'!I78</f>
        <v>255.33787916666662</v>
      </c>
      <c r="J79" s="176">
        <f>'Trip Calculation'!J78*'Other Factors'!$E$21</f>
        <v>227267.87469749997</v>
      </c>
      <c r="K79" s="171">
        <f>'Trip Calculation'!K78*'Other Factors'!$F$21</f>
        <v>81384.221549999973</v>
      </c>
      <c r="L79" s="176">
        <f>'Trip Calculation'!L78*'Other Factors'!$G$21</f>
        <v>46310.898266666663</v>
      </c>
      <c r="M79" s="177">
        <f t="shared" si="21"/>
        <v>354962.99451416661</v>
      </c>
      <c r="N79" s="179">
        <f>M79*'Other Factors'!$B$9*'Other Factors'!$B$5</f>
        <v>3011157779.8786664</v>
      </c>
      <c r="O79" s="178">
        <f>(('Trip Calculation'!J78*'Other Factors'!$E$23)+('Trip Calculation'!K78*'Other Factors'!$F$23)+('Trip Calculation'!L78*'Other Factors'!$G$23))/60</f>
        <v>11450.419177876342</v>
      </c>
      <c r="P79" s="175">
        <f t="shared" si="22"/>
        <v>226028.56951416662</v>
      </c>
      <c r="Q79" s="179">
        <f t="shared" si="23"/>
        <v>1917404619.8786664</v>
      </c>
      <c r="R79" s="180">
        <f t="shared" si="24"/>
        <v>7291.2441778763414</v>
      </c>
    </row>
    <row r="80" spans="1:18" x14ac:dyDescent="0.25">
      <c r="A80" s="5">
        <v>2046</v>
      </c>
      <c r="B80" s="169">
        <f>'Trip Calculation'!I35</f>
        <v>199.89833333333331</v>
      </c>
      <c r="C80" s="171">
        <f>'Trip Calculation'!J35*'Other Factors'!$B$21</f>
        <v>0</v>
      </c>
      <c r="D80" s="171">
        <f>'Trip Calculation'!K35*'Other Factors'!$C$21</f>
        <v>0</v>
      </c>
      <c r="E80" s="171">
        <f>'Trip Calculation'!L35*'Other Factors'!$D$21</f>
        <v>128934.42499999999</v>
      </c>
      <c r="F80" s="170">
        <f t="shared" si="20"/>
        <v>128934.42499999999</v>
      </c>
      <c r="G80" s="179">
        <f>F80*'Other Factors'!$B$9*'Other Factors'!$B$5</f>
        <v>1093753160</v>
      </c>
      <c r="H80" s="174">
        <f>(('Trip Calculation'!J35*'Other Factors'!$B$23)+('Trip Calculation'!K35*'Other Factors'!$C$23)+('Trip Calculation'!L35*'Other Factors'!$D$23))/60</f>
        <v>4159.1750000000002</v>
      </c>
      <c r="I80" s="169">
        <f>'Trip Calculation'!I79</f>
        <v>255.33787916666662</v>
      </c>
      <c r="J80" s="176">
        <f>'Trip Calculation'!J79*'Other Factors'!$E$21</f>
        <v>227267.87469749997</v>
      </c>
      <c r="K80" s="171">
        <f>'Trip Calculation'!K79*'Other Factors'!$F$21</f>
        <v>81384.221549999973</v>
      </c>
      <c r="L80" s="176">
        <f>'Trip Calculation'!L79*'Other Factors'!$G$21</f>
        <v>46310.898266666663</v>
      </c>
      <c r="M80" s="177">
        <f t="shared" si="21"/>
        <v>354962.99451416661</v>
      </c>
      <c r="N80" s="179">
        <f>M80*'Other Factors'!$B$9*'Other Factors'!$B$5</f>
        <v>3011157779.8786664</v>
      </c>
      <c r="O80" s="178">
        <f>(('Trip Calculation'!J79*'Other Factors'!$E$23)+('Trip Calculation'!K79*'Other Factors'!$F$23)+('Trip Calculation'!L79*'Other Factors'!$G$23))/60</f>
        <v>11450.419177876342</v>
      </c>
      <c r="P80" s="175">
        <f t="shared" si="22"/>
        <v>226028.56951416662</v>
      </c>
      <c r="Q80" s="179">
        <f t="shared" si="23"/>
        <v>1917404619.8786664</v>
      </c>
      <c r="R80" s="180">
        <f t="shared" si="24"/>
        <v>7291.2441778763414</v>
      </c>
    </row>
    <row r="81" spans="1:18" x14ac:dyDescent="0.25">
      <c r="A81" s="5">
        <v>2047</v>
      </c>
      <c r="B81" s="169">
        <f>'Trip Calculation'!I36</f>
        <v>199.89833333333331</v>
      </c>
      <c r="C81" s="171">
        <f>'Trip Calculation'!J36*'Other Factors'!$B$21</f>
        <v>0</v>
      </c>
      <c r="D81" s="171">
        <f>'Trip Calculation'!K36*'Other Factors'!$C$21</f>
        <v>0</v>
      </c>
      <c r="E81" s="171">
        <f>'Trip Calculation'!L36*'Other Factors'!$D$21</f>
        <v>128934.42499999999</v>
      </c>
      <c r="F81" s="170">
        <f t="shared" si="20"/>
        <v>128934.42499999999</v>
      </c>
      <c r="G81" s="179">
        <f>F81*'Other Factors'!$B$9*'Other Factors'!$B$5</f>
        <v>1093753160</v>
      </c>
      <c r="H81" s="174">
        <f>(('Trip Calculation'!J36*'Other Factors'!$B$23)+('Trip Calculation'!K36*'Other Factors'!$C$23)+('Trip Calculation'!L36*'Other Factors'!$D$23))/60</f>
        <v>4159.1750000000002</v>
      </c>
      <c r="I81" s="169">
        <f>'Trip Calculation'!I80</f>
        <v>255.33787916666662</v>
      </c>
      <c r="J81" s="176">
        <f>'Trip Calculation'!J80*'Other Factors'!$E$21</f>
        <v>227267.87469749997</v>
      </c>
      <c r="K81" s="171">
        <f>'Trip Calculation'!K80*'Other Factors'!$F$21</f>
        <v>81384.221549999973</v>
      </c>
      <c r="L81" s="176">
        <f>'Trip Calculation'!L80*'Other Factors'!$G$21</f>
        <v>46310.898266666663</v>
      </c>
      <c r="M81" s="177">
        <f t="shared" si="21"/>
        <v>354962.99451416661</v>
      </c>
      <c r="N81" s="179">
        <f>M81*'Other Factors'!$B$9*'Other Factors'!$B$5</f>
        <v>3011157779.8786664</v>
      </c>
      <c r="O81" s="178">
        <f>(('Trip Calculation'!J80*'Other Factors'!$E$23)+('Trip Calculation'!K80*'Other Factors'!$F$23)+('Trip Calculation'!L80*'Other Factors'!$G$23))/60</f>
        <v>11450.419177876342</v>
      </c>
      <c r="P81" s="175">
        <f t="shared" si="22"/>
        <v>226028.56951416662</v>
      </c>
      <c r="Q81" s="179">
        <f t="shared" si="23"/>
        <v>1917404619.8786664</v>
      </c>
      <c r="R81" s="180">
        <f t="shared" si="24"/>
        <v>7291.2441778763414</v>
      </c>
    </row>
    <row r="82" spans="1:18" x14ac:dyDescent="0.25">
      <c r="A82" s="5">
        <v>2048</v>
      </c>
      <c r="B82" s="169">
        <f>'Trip Calculation'!I37</f>
        <v>199.89833333333331</v>
      </c>
      <c r="C82" s="171">
        <f>'Trip Calculation'!J37*'Other Factors'!$B$21</f>
        <v>0</v>
      </c>
      <c r="D82" s="171">
        <f>'Trip Calculation'!K37*'Other Factors'!$C$21</f>
        <v>0</v>
      </c>
      <c r="E82" s="171">
        <f>'Trip Calculation'!L37*'Other Factors'!$D$21</f>
        <v>128934.42499999999</v>
      </c>
      <c r="F82" s="170">
        <f t="shared" ref="F82:F85" si="25">C82+D82+E82</f>
        <v>128934.42499999999</v>
      </c>
      <c r="G82" s="179">
        <f>F82*'Other Factors'!$B$9*'Other Factors'!$B$5</f>
        <v>1093753160</v>
      </c>
      <c r="H82" s="174">
        <f>(('Trip Calculation'!J37*'Other Factors'!$B$23)+('Trip Calculation'!K37*'Other Factors'!$C$23)+('Trip Calculation'!L37*'Other Factors'!$D$23))/60</f>
        <v>4159.1750000000002</v>
      </c>
      <c r="I82" s="169">
        <f>'Trip Calculation'!I81</f>
        <v>255.33787916666662</v>
      </c>
      <c r="J82" s="176">
        <f>'Trip Calculation'!J81*'Other Factors'!$E$21</f>
        <v>227267.87469749997</v>
      </c>
      <c r="K82" s="171">
        <f>'Trip Calculation'!K81*'Other Factors'!$F$21</f>
        <v>81384.221549999973</v>
      </c>
      <c r="L82" s="176">
        <f>'Trip Calculation'!L81*'Other Factors'!$G$21</f>
        <v>46310.898266666663</v>
      </c>
      <c r="M82" s="177">
        <f t="shared" ref="M82:M85" si="26">J82+K82+L82</f>
        <v>354962.99451416661</v>
      </c>
      <c r="N82" s="179">
        <f>M82*'Other Factors'!$B$9*'Other Factors'!$B$5</f>
        <v>3011157779.8786664</v>
      </c>
      <c r="O82" s="178">
        <f>(('Trip Calculation'!J81*'Other Factors'!$E$23)+('Trip Calculation'!K81*'Other Factors'!$F$23)+('Trip Calculation'!L81*'Other Factors'!$G$23))/60</f>
        <v>11450.419177876342</v>
      </c>
      <c r="P82" s="175">
        <f t="shared" ref="P82:P85" si="27">M82-F82</f>
        <v>226028.56951416662</v>
      </c>
      <c r="Q82" s="179">
        <f t="shared" ref="Q82:Q85" si="28">N82-G82</f>
        <v>1917404619.8786664</v>
      </c>
      <c r="R82" s="180">
        <f t="shared" ref="R82:R85" si="29">O82-H82</f>
        <v>7291.2441778763414</v>
      </c>
    </row>
    <row r="83" spans="1:18" x14ac:dyDescent="0.25">
      <c r="A83" s="5">
        <v>2049</v>
      </c>
      <c r="B83" s="169">
        <f>'Trip Calculation'!I38</f>
        <v>199.89833333333331</v>
      </c>
      <c r="C83" s="171">
        <f>'Trip Calculation'!J38*'Other Factors'!$B$21</f>
        <v>0</v>
      </c>
      <c r="D83" s="171">
        <f>'Trip Calculation'!K38*'Other Factors'!$C$21</f>
        <v>0</v>
      </c>
      <c r="E83" s="171">
        <f>'Trip Calculation'!L38*'Other Factors'!$D$21</f>
        <v>128934.42499999999</v>
      </c>
      <c r="F83" s="170">
        <f t="shared" si="25"/>
        <v>128934.42499999999</v>
      </c>
      <c r="G83" s="179">
        <f>F83*'Other Factors'!$B$9*'Other Factors'!$B$5</f>
        <v>1093753160</v>
      </c>
      <c r="H83" s="174">
        <f>(('Trip Calculation'!J38*'Other Factors'!$B$23)+('Trip Calculation'!K38*'Other Factors'!$C$23)+('Trip Calculation'!L38*'Other Factors'!$D$23))/60</f>
        <v>4159.1750000000002</v>
      </c>
      <c r="I83" s="169">
        <f>'Trip Calculation'!I82</f>
        <v>255.33787916666662</v>
      </c>
      <c r="J83" s="176">
        <f>'Trip Calculation'!J82*'Other Factors'!$E$21</f>
        <v>227267.87469749997</v>
      </c>
      <c r="K83" s="171">
        <f>'Trip Calculation'!K82*'Other Factors'!$F$21</f>
        <v>81384.221549999973</v>
      </c>
      <c r="L83" s="176">
        <f>'Trip Calculation'!L82*'Other Factors'!$G$21</f>
        <v>46310.898266666663</v>
      </c>
      <c r="M83" s="177">
        <f t="shared" si="26"/>
        <v>354962.99451416661</v>
      </c>
      <c r="N83" s="179">
        <f>M83*'Other Factors'!$B$9*'Other Factors'!$B$5</f>
        <v>3011157779.8786664</v>
      </c>
      <c r="O83" s="178">
        <f>(('Trip Calculation'!J82*'Other Factors'!$E$23)+('Trip Calculation'!K82*'Other Factors'!$F$23)+('Trip Calculation'!L82*'Other Factors'!$G$23))/60</f>
        <v>11450.419177876342</v>
      </c>
      <c r="P83" s="175">
        <f t="shared" si="27"/>
        <v>226028.56951416662</v>
      </c>
      <c r="Q83" s="179">
        <f t="shared" si="28"/>
        <v>1917404619.8786664</v>
      </c>
      <c r="R83" s="180">
        <f t="shared" si="29"/>
        <v>7291.2441778763414</v>
      </c>
    </row>
    <row r="84" spans="1:18" x14ac:dyDescent="0.25">
      <c r="A84" s="5">
        <v>2050</v>
      </c>
      <c r="B84" s="169">
        <f>'Trip Calculation'!I39</f>
        <v>199.89833333333331</v>
      </c>
      <c r="C84" s="171">
        <f>'Trip Calculation'!J39*'Other Factors'!$B$21</f>
        <v>0</v>
      </c>
      <c r="D84" s="171">
        <f>'Trip Calculation'!K39*'Other Factors'!$C$21</f>
        <v>0</v>
      </c>
      <c r="E84" s="171">
        <f>'Trip Calculation'!L39*'Other Factors'!$D$21</f>
        <v>128934.42499999999</v>
      </c>
      <c r="F84" s="170">
        <f t="shared" si="25"/>
        <v>128934.42499999999</v>
      </c>
      <c r="G84" s="179">
        <f>F84*'Other Factors'!$B$9*'Other Factors'!$B$5</f>
        <v>1093753160</v>
      </c>
      <c r="H84" s="174">
        <f>(('Trip Calculation'!J39*'Other Factors'!$B$23)+('Trip Calculation'!K39*'Other Factors'!$C$23)+('Trip Calculation'!L39*'Other Factors'!$D$23))/60</f>
        <v>4159.1750000000002</v>
      </c>
      <c r="I84" s="169">
        <f>'Trip Calculation'!I83</f>
        <v>255.33787916666662</v>
      </c>
      <c r="J84" s="176">
        <f>'Trip Calculation'!J83*'Other Factors'!$E$21</f>
        <v>227267.87469749997</v>
      </c>
      <c r="K84" s="171">
        <f>'Trip Calculation'!K83*'Other Factors'!$F$21</f>
        <v>81384.221549999973</v>
      </c>
      <c r="L84" s="176">
        <f>'Trip Calculation'!L83*'Other Factors'!$G$21</f>
        <v>46310.898266666663</v>
      </c>
      <c r="M84" s="177">
        <f t="shared" si="26"/>
        <v>354962.99451416661</v>
      </c>
      <c r="N84" s="179">
        <f>M84*'Other Factors'!$B$9*'Other Factors'!$B$5</f>
        <v>3011157779.8786664</v>
      </c>
      <c r="O84" s="178">
        <f>(('Trip Calculation'!J83*'Other Factors'!$E$23)+('Trip Calculation'!K83*'Other Factors'!$F$23)+('Trip Calculation'!L83*'Other Factors'!$G$23))/60</f>
        <v>11450.419177876342</v>
      </c>
      <c r="P84" s="175">
        <f t="shared" si="27"/>
        <v>226028.56951416662</v>
      </c>
      <c r="Q84" s="179">
        <f t="shared" si="28"/>
        <v>1917404619.8786664</v>
      </c>
      <c r="R84" s="180">
        <f t="shared" si="29"/>
        <v>7291.2441778763414</v>
      </c>
    </row>
    <row r="85" spans="1:18" x14ac:dyDescent="0.25">
      <c r="A85" s="5">
        <v>2051</v>
      </c>
      <c r="B85" s="169">
        <f>'Trip Calculation'!I40</f>
        <v>199.89833333333331</v>
      </c>
      <c r="C85" s="171">
        <f>'Trip Calculation'!J40*'Other Factors'!$B$21</f>
        <v>0</v>
      </c>
      <c r="D85" s="171">
        <f>'Trip Calculation'!K40*'Other Factors'!$C$21</f>
        <v>0</v>
      </c>
      <c r="E85" s="171">
        <f>'Trip Calculation'!L40*'Other Factors'!$D$21</f>
        <v>128934.42499999999</v>
      </c>
      <c r="F85" s="170">
        <f t="shared" si="25"/>
        <v>128934.42499999999</v>
      </c>
      <c r="G85" s="179">
        <f>F85*'Other Factors'!$B$9*'Other Factors'!$B$5</f>
        <v>1093753160</v>
      </c>
      <c r="H85" s="174">
        <f>(('Trip Calculation'!J40*'Other Factors'!$B$23)+('Trip Calculation'!K40*'Other Factors'!$C$23)+('Trip Calculation'!L40*'Other Factors'!$D$23))/60</f>
        <v>4159.1750000000002</v>
      </c>
      <c r="I85" s="169">
        <f>'Trip Calculation'!I84</f>
        <v>255.33787916666662</v>
      </c>
      <c r="J85" s="176">
        <f>'Trip Calculation'!J84*'Other Factors'!$E$21</f>
        <v>227267.87469749997</v>
      </c>
      <c r="K85" s="171">
        <f>'Trip Calculation'!K84*'Other Factors'!$F$21</f>
        <v>81384.221549999973</v>
      </c>
      <c r="L85" s="176">
        <f>'Trip Calculation'!L84*'Other Factors'!$G$21</f>
        <v>46310.898266666663</v>
      </c>
      <c r="M85" s="177">
        <f t="shared" si="26"/>
        <v>354962.99451416661</v>
      </c>
      <c r="N85" s="179">
        <f>M85*'Other Factors'!$B$9*'Other Factors'!$B$5</f>
        <v>3011157779.8786664</v>
      </c>
      <c r="O85" s="178">
        <f>(('Trip Calculation'!J84*'Other Factors'!$E$23)+('Trip Calculation'!K84*'Other Factors'!$F$23)+('Trip Calculation'!L84*'Other Factors'!$G$23))/60</f>
        <v>11450.419177876342</v>
      </c>
      <c r="P85" s="175">
        <f t="shared" si="27"/>
        <v>226028.56951416662</v>
      </c>
      <c r="Q85" s="179">
        <f t="shared" si="28"/>
        <v>1917404619.8786664</v>
      </c>
      <c r="R85" s="180">
        <f t="shared" si="29"/>
        <v>7291.2441778763414</v>
      </c>
    </row>
    <row r="86" spans="1:18" x14ac:dyDescent="0.25">
      <c r="A86" s="5">
        <v>2052</v>
      </c>
      <c r="B86" s="169">
        <f>'Trip Calculation'!I41</f>
        <v>199.89833333333331</v>
      </c>
      <c r="C86" s="171">
        <f>'Trip Calculation'!J41*'Other Factors'!$B$21</f>
        <v>0</v>
      </c>
      <c r="D86" s="171">
        <f>'Trip Calculation'!K41*'Other Factors'!$C$21</f>
        <v>0</v>
      </c>
      <c r="E86" s="171">
        <f>'Trip Calculation'!L41*'Other Factors'!$D$21</f>
        <v>128934.42499999999</v>
      </c>
      <c r="F86" s="170">
        <f t="shared" ref="F86" si="30">C86+D86+E86</f>
        <v>128934.42499999999</v>
      </c>
      <c r="G86" s="179">
        <f>F86*'Other Factors'!$B$9*'Other Factors'!$B$5</f>
        <v>1093753160</v>
      </c>
      <c r="H86" s="174">
        <f>(('Trip Calculation'!J41*'Other Factors'!$B$23)+('Trip Calculation'!K41*'Other Factors'!$C$23)+('Trip Calculation'!L41*'Other Factors'!$D$23))/60</f>
        <v>4159.1750000000002</v>
      </c>
      <c r="I86" s="169">
        <f>'Trip Calculation'!I85</f>
        <v>255.33787916666662</v>
      </c>
      <c r="J86" s="176">
        <f>'Trip Calculation'!J85*'Other Factors'!$E$21</f>
        <v>227267.87469749997</v>
      </c>
      <c r="K86" s="171">
        <f>'Trip Calculation'!K85*'Other Factors'!$F$21</f>
        <v>81384.221549999973</v>
      </c>
      <c r="L86" s="176">
        <f>'Trip Calculation'!L85*'Other Factors'!$G$21</f>
        <v>46310.898266666663</v>
      </c>
      <c r="M86" s="177">
        <f t="shared" ref="M86" si="31">J86+K86+L86</f>
        <v>354962.99451416661</v>
      </c>
      <c r="N86" s="179">
        <f>M86*'Other Factors'!$B$9*'Other Factors'!$B$5</f>
        <v>3011157779.8786664</v>
      </c>
      <c r="O86" s="178">
        <f>(('Trip Calculation'!J85*'Other Factors'!$E$23)+('Trip Calculation'!K85*'Other Factors'!$F$23)+('Trip Calculation'!L85*'Other Factors'!$G$23))/60</f>
        <v>11450.419177876342</v>
      </c>
      <c r="P86" s="175">
        <f t="shared" ref="P86" si="32">M86-F86</f>
        <v>226028.56951416662</v>
      </c>
      <c r="Q86" s="179">
        <f t="shared" ref="Q86" si="33">N86-G86</f>
        <v>1917404619.8786664</v>
      </c>
      <c r="R86" s="180">
        <f t="shared" ref="R86" si="34">O86-H86</f>
        <v>7291.2441778763414</v>
      </c>
    </row>
    <row r="87" spans="1:18" ht="15.75" thickBot="1" x14ac:dyDescent="0.3">
      <c r="A87" s="6" t="s">
        <v>1</v>
      </c>
      <c r="B87" s="7">
        <f>SUM(B48:B86)</f>
        <v>4896.1400000000021</v>
      </c>
      <c r="C87" s="14">
        <f>SUM(C48:C86)</f>
        <v>0</v>
      </c>
      <c r="D87" s="14">
        <f t="shared" ref="D87:G87" si="35">SUM(D48:D86)</f>
        <v>0</v>
      </c>
      <c r="E87" s="14">
        <f t="shared" si="35"/>
        <v>3158010.2999999989</v>
      </c>
      <c r="F87" s="14">
        <f t="shared" si="35"/>
        <v>3158010.2999999989</v>
      </c>
      <c r="G87" s="14">
        <f t="shared" si="35"/>
        <v>26789460960</v>
      </c>
      <c r="H87" s="14">
        <f>SUM(H48:H86)</f>
        <v>101871.30000000005</v>
      </c>
      <c r="I87" s="7">
        <f>SUM(I48:I86)</f>
        <v>6254.0291499999958</v>
      </c>
      <c r="J87" s="8">
        <f>SUM(J48:J86)</f>
        <v>5566506.3008099981</v>
      </c>
      <c r="K87" s="8">
        <f t="shared" ref="K87:N87" si="36">SUM(K48:K86)</f>
        <v>1993356.0017999988</v>
      </c>
      <c r="L87" s="8">
        <f t="shared" si="36"/>
        <v>1134299.8096</v>
      </c>
      <c r="M87" s="8">
        <f t="shared" si="36"/>
        <v>8694162.1122099943</v>
      </c>
      <c r="N87" s="8">
        <f t="shared" si="36"/>
        <v>73752741238.672028</v>
      </c>
      <c r="O87" s="14">
        <f>SUM(O48:O86)</f>
        <v>280456.84232935484</v>
      </c>
      <c r="P87" s="7">
        <f>SUM(P48:P86)</f>
        <v>5536151.8122099983</v>
      </c>
      <c r="Q87" s="10">
        <f>SUM(Q48:Q86)</f>
        <v>46963280278.672005</v>
      </c>
      <c r="R87" s="9">
        <f>SUM(R48:R86)</f>
        <v>178585.54232935474</v>
      </c>
    </row>
    <row r="88" spans="1:18" x14ac:dyDescent="0.25">
      <c r="I88" s="183"/>
      <c r="P88" s="181"/>
      <c r="Q88" s="181"/>
      <c r="R88" s="181"/>
    </row>
    <row r="89" spans="1:18" ht="30" customHeight="1" x14ac:dyDescent="0.35">
      <c r="A89" s="168"/>
      <c r="P89" s="181"/>
    </row>
    <row r="91" spans="1:18" ht="42.75" customHeight="1" x14ac:dyDescent="0.25"/>
    <row r="135" spans="13:13" ht="24.75" customHeight="1" x14ac:dyDescent="0.25"/>
    <row r="136" spans="13:13" x14ac:dyDescent="0.25">
      <c r="M136" s="184"/>
    </row>
    <row r="178" spans="5:15" x14ac:dyDescent="0.25">
      <c r="M178" s="185"/>
      <c r="N178" s="185"/>
      <c r="O178" s="185"/>
    </row>
    <row r="181" spans="5:15" ht="34.5" customHeight="1" x14ac:dyDescent="0.25"/>
    <row r="182" spans="5:15" x14ac:dyDescent="0.25">
      <c r="E182" s="184"/>
      <c r="H182" s="184"/>
      <c r="I182" s="184"/>
    </row>
  </sheetData>
  <mergeCells count="8">
    <mergeCell ref="I46:O46"/>
    <mergeCell ref="P2:R2"/>
    <mergeCell ref="A2:A3"/>
    <mergeCell ref="A46:A47"/>
    <mergeCell ref="B2:H2"/>
    <mergeCell ref="I2:O2"/>
    <mergeCell ref="B46:H46"/>
    <mergeCell ref="P46:R4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4"/>
  <sheetViews>
    <sheetView zoomScale="70" zoomScaleNormal="70" workbookViewId="0">
      <selection activeCell="D12" sqref="D12:D41"/>
    </sheetView>
  </sheetViews>
  <sheetFormatPr defaultColWidth="8.85546875" defaultRowHeight="15" x14ac:dyDescent="0.25"/>
  <cols>
    <col min="1" max="1" width="28.28515625" style="3" bestFit="1" customWidth="1"/>
    <col min="2" max="3" width="28.28515625" style="3" customWidth="1"/>
    <col min="4" max="5" width="25.7109375" style="3" customWidth="1"/>
    <col min="6" max="6" width="17.7109375" style="3" bestFit="1" customWidth="1"/>
    <col min="7" max="7" width="11.5703125" style="3" bestFit="1" customWidth="1"/>
    <col min="8" max="8" width="12.7109375" style="3" bestFit="1" customWidth="1"/>
    <col min="9" max="9" width="14.140625" style="3" bestFit="1" customWidth="1"/>
    <col min="10" max="10" width="15.7109375" style="3" bestFit="1" customWidth="1"/>
    <col min="11" max="11" width="12.5703125" style="3" bestFit="1" customWidth="1"/>
    <col min="12" max="13" width="17.85546875" style="3" bestFit="1" customWidth="1"/>
    <col min="14" max="16384" width="8.85546875" style="3"/>
  </cols>
  <sheetData>
    <row r="1" spans="1:13" ht="27" customHeight="1" thickBot="1" x14ac:dyDescent="0.3">
      <c r="A1" s="475" t="s">
        <v>225</v>
      </c>
      <c r="B1" s="476"/>
      <c r="C1" s="476"/>
      <c r="D1" s="476"/>
      <c r="E1" s="476"/>
      <c r="F1" s="279"/>
      <c r="G1" s="279"/>
      <c r="H1" s="279"/>
      <c r="I1" s="279"/>
      <c r="J1" s="279"/>
      <c r="K1" s="279"/>
      <c r="L1" s="280"/>
      <c r="M1" s="281"/>
    </row>
    <row r="2" spans="1:13" s="29" customFormat="1" ht="48.75" customHeight="1" x14ac:dyDescent="0.25">
      <c r="A2" s="282" t="s">
        <v>2</v>
      </c>
      <c r="B2" s="283" t="s">
        <v>216</v>
      </c>
      <c r="C2" s="157" t="s">
        <v>217</v>
      </c>
      <c r="D2" s="156" t="s">
        <v>74</v>
      </c>
      <c r="E2" s="283" t="s">
        <v>281</v>
      </c>
    </row>
    <row r="3" spans="1:13" s="29" customFormat="1" x14ac:dyDescent="0.25">
      <c r="A3" s="37">
        <v>2014</v>
      </c>
      <c r="B3" s="164">
        <f>'VMT Ton-Mile Driver Time'!G4*'Monetized Values and Factors'!$M$6+'VMT Ton-Mile Driver Time'!G48*'Monetized Values and Factors'!$O$6</f>
        <v>0</v>
      </c>
      <c r="C3" s="151">
        <f>'VMT Ton-Mile Driver Time'!N4*'Monetized Values and Factors'!$M$6+'VMT Ton-Mile Driver Time'!N48*'Monetized Values and Factors'!$O$6</f>
        <v>0</v>
      </c>
      <c r="D3" s="161">
        <f>C3-B3</f>
        <v>0</v>
      </c>
      <c r="E3" s="220">
        <f>D3*'Inflation Adjustment'!$C$17</f>
        <v>0</v>
      </c>
    </row>
    <row r="4" spans="1:13" x14ac:dyDescent="0.25">
      <c r="A4" s="37">
        <v>2015</v>
      </c>
      <c r="B4" s="164">
        <f>'VMT Ton-Mile Driver Time'!G5*'Monetized Values and Factors'!$M$6+'VMT Ton-Mile Driver Time'!G49*'Monetized Values and Factors'!$O$6</f>
        <v>0</v>
      </c>
      <c r="C4" s="151">
        <f>'VMT Ton-Mile Driver Time'!N5*'Monetized Values and Factors'!$M$6+'VMT Ton-Mile Driver Time'!N49*'Monetized Values and Factors'!$O$6</f>
        <v>0</v>
      </c>
      <c r="D4" s="161">
        <f>C4-B4</f>
        <v>0</v>
      </c>
      <c r="E4" s="220">
        <f>D4*'Inflation Adjustment'!$C$17</f>
        <v>0</v>
      </c>
    </row>
    <row r="5" spans="1:13" x14ac:dyDescent="0.25">
      <c r="A5" s="37">
        <v>2016</v>
      </c>
      <c r="B5" s="164">
        <f>'VMT Ton-Mile Driver Time'!G6*'Monetized Values and Factors'!$M$6+'VMT Ton-Mile Driver Time'!G50*'Monetized Values and Factors'!$O$6</f>
        <v>0</v>
      </c>
      <c r="C5" s="151">
        <f>'VMT Ton-Mile Driver Time'!N6*'Monetized Values and Factors'!$M$6+'VMT Ton-Mile Driver Time'!N50*'Monetized Values and Factors'!$O$6</f>
        <v>0</v>
      </c>
      <c r="D5" s="161">
        <f t="shared" ref="D5:D40" si="0">C5-B5</f>
        <v>0</v>
      </c>
      <c r="E5" s="220">
        <f>D5*'Inflation Adjustment'!$C$17</f>
        <v>0</v>
      </c>
    </row>
    <row r="6" spans="1:13" x14ac:dyDescent="0.25">
      <c r="A6" s="37">
        <v>2017</v>
      </c>
      <c r="B6" s="164">
        <f>'VMT Ton-Mile Driver Time'!G7*'Monetized Values and Factors'!$M$6+'VMT Ton-Mile Driver Time'!G51*'Monetized Values and Factors'!$O$6</f>
        <v>0</v>
      </c>
      <c r="C6" s="151">
        <f>'VMT Ton-Mile Driver Time'!N7*'Monetized Values and Factors'!$M$6+'VMT Ton-Mile Driver Time'!N51*'Monetized Values and Factors'!$O$6</f>
        <v>0</v>
      </c>
      <c r="D6" s="161">
        <f t="shared" si="0"/>
        <v>0</v>
      </c>
      <c r="E6" s="220">
        <f>D6*'Inflation Adjustment'!$C$17</f>
        <v>0</v>
      </c>
    </row>
    <row r="7" spans="1:13" x14ac:dyDescent="0.25">
      <c r="A7" s="37">
        <v>2018</v>
      </c>
      <c r="B7" s="164">
        <f>'VMT Ton-Mile Driver Time'!G8*'Monetized Values and Factors'!$M$6+'VMT Ton-Mile Driver Time'!G52*'Monetized Values and Factors'!$O$6</f>
        <v>0</v>
      </c>
      <c r="C7" s="151">
        <f>'VMT Ton-Mile Driver Time'!N8*'Monetized Values and Factors'!$M$6+'VMT Ton-Mile Driver Time'!N52*'Monetized Values and Factors'!$O$6</f>
        <v>0</v>
      </c>
      <c r="D7" s="161">
        <f t="shared" si="0"/>
        <v>0</v>
      </c>
      <c r="E7" s="220">
        <f>D7*'Inflation Adjustment'!$C$17</f>
        <v>0</v>
      </c>
    </row>
    <row r="8" spans="1:13" x14ac:dyDescent="0.25">
      <c r="A8" s="37">
        <v>2019</v>
      </c>
      <c r="B8" s="164">
        <f>'VMT Ton-Mile Driver Time'!G9*'Monetized Values and Factors'!$M$6+'VMT Ton-Mile Driver Time'!G53*'Monetized Values and Factors'!$O$6</f>
        <v>0</v>
      </c>
      <c r="C8" s="151">
        <f>'VMT Ton-Mile Driver Time'!N9*'Monetized Values and Factors'!$M$6+'VMT Ton-Mile Driver Time'!N53*'Monetized Values and Factors'!$O$6</f>
        <v>0</v>
      </c>
      <c r="D8" s="161">
        <f t="shared" si="0"/>
        <v>0</v>
      </c>
      <c r="E8" s="220">
        <f>D8*'Inflation Adjustment'!$C$17</f>
        <v>0</v>
      </c>
    </row>
    <row r="9" spans="1:13" x14ac:dyDescent="0.25">
      <c r="A9" s="37">
        <v>2020</v>
      </c>
      <c r="B9" s="164">
        <f>'VMT Ton-Mile Driver Time'!G10*'Monetized Values and Factors'!$M$6+'VMT Ton-Mile Driver Time'!G54*'Monetized Values and Factors'!$O$6</f>
        <v>0</v>
      </c>
      <c r="C9" s="151">
        <f>'VMT Ton-Mile Driver Time'!N10*'Monetized Values and Factors'!$M$6+'VMT Ton-Mile Driver Time'!N54*'Monetized Values and Factors'!$O$6</f>
        <v>0</v>
      </c>
      <c r="D9" s="161">
        <f t="shared" si="0"/>
        <v>0</v>
      </c>
      <c r="E9" s="220">
        <f>D9*'Inflation Adjustment'!$C$17</f>
        <v>0</v>
      </c>
    </row>
    <row r="10" spans="1:13" x14ac:dyDescent="0.25">
      <c r="A10" s="37">
        <v>2021</v>
      </c>
      <c r="B10" s="164">
        <f>'VMT Ton-Mile Driver Time'!G11*'Monetized Values and Factors'!$M$6+'VMT Ton-Mile Driver Time'!G55*'Monetized Values and Factors'!$O$6</f>
        <v>0</v>
      </c>
      <c r="C10" s="151">
        <f>'VMT Ton-Mile Driver Time'!N11*'Monetized Values and Factors'!$M$6+'VMT Ton-Mile Driver Time'!N55*'Monetized Values and Factors'!$O$6</f>
        <v>0</v>
      </c>
      <c r="D10" s="161">
        <f t="shared" si="0"/>
        <v>0</v>
      </c>
      <c r="E10" s="220">
        <f>D10*'Inflation Adjustment'!$C$17</f>
        <v>0</v>
      </c>
    </row>
    <row r="11" spans="1:13" x14ac:dyDescent="0.25">
      <c r="A11" s="37">
        <v>2022</v>
      </c>
      <c r="B11" s="164">
        <f>'VMT Ton-Mile Driver Time'!G12*'Monetized Values and Factors'!$M$6+'VMT Ton-Mile Driver Time'!G56*'Monetized Values and Factors'!$O$6</f>
        <v>0</v>
      </c>
      <c r="C11" s="151">
        <f>'VMT Ton-Mile Driver Time'!N12*'Monetized Values and Factors'!$M$6+'VMT Ton-Mile Driver Time'!N56*'Monetized Values and Factors'!$O$6</f>
        <v>0</v>
      </c>
      <c r="D11" s="161">
        <f>C11-B11</f>
        <v>0</v>
      </c>
      <c r="E11" s="220">
        <f>D11*'Inflation Adjustment'!$C$17</f>
        <v>0</v>
      </c>
    </row>
    <row r="12" spans="1:13" x14ac:dyDescent="0.25">
      <c r="A12" s="37">
        <v>2023</v>
      </c>
      <c r="B12" s="164">
        <f>'VMT Ton-Mile Driver Time'!G13*'Monetized Values and Factors'!$M$6+'VMT Ton-Mile Driver Time'!G57*'Monetized Values and Factors'!$O$6</f>
        <v>865289.08000000007</v>
      </c>
      <c r="C12" s="151">
        <f>'VMT Ton-Mile Driver Time'!N13*'Monetized Values and Factors'!$M$6+'VMT Ton-Mile Driver Time'!N57*'Monetized Values and Factors'!$O$6</f>
        <v>2056605.1832793336</v>
      </c>
      <c r="D12" s="161">
        <f t="shared" si="0"/>
        <v>1191316.1032793336</v>
      </c>
      <c r="E12" s="220">
        <f>D12*'Inflation Adjustment'!$C$17</f>
        <v>1241589.6428377214</v>
      </c>
    </row>
    <row r="13" spans="1:13" x14ac:dyDescent="0.25">
      <c r="A13" s="37">
        <v>2024</v>
      </c>
      <c r="B13" s="164">
        <f>'VMT Ton-Mile Driver Time'!G14*'Monetized Values and Factors'!$M$6+'VMT Ton-Mile Driver Time'!G58*'Monetized Values and Factors'!$O$6</f>
        <v>1730578.1600000001</v>
      </c>
      <c r="C13" s="151">
        <f>'VMT Ton-Mile Driver Time'!N14*'Monetized Values and Factors'!$M$6+'VMT Ton-Mile Driver Time'!N58*'Monetized Values and Factors'!$O$6</f>
        <v>4113210.3665586673</v>
      </c>
      <c r="D13" s="161">
        <f t="shared" si="0"/>
        <v>2382632.2065586671</v>
      </c>
      <c r="E13" s="220">
        <f>D13*'Inflation Adjustment'!$C$17</f>
        <v>2483179.2856754428</v>
      </c>
    </row>
    <row r="14" spans="1:13" x14ac:dyDescent="0.25">
      <c r="A14" s="37">
        <v>2025</v>
      </c>
      <c r="B14" s="164">
        <f>'VMT Ton-Mile Driver Time'!G15*'Monetized Values and Factors'!$M$6+'VMT Ton-Mile Driver Time'!G59*'Monetized Values and Factors'!$O$6</f>
        <v>2595867.2400000002</v>
      </c>
      <c r="C14" s="151">
        <f>'VMT Ton-Mile Driver Time'!N15*'Monetized Values and Factors'!$M$6+'VMT Ton-Mile Driver Time'!N59*'Monetized Values and Factors'!$O$6</f>
        <v>6169815.5498380009</v>
      </c>
      <c r="D14" s="161">
        <f t="shared" si="0"/>
        <v>3573948.3098380007</v>
      </c>
      <c r="E14" s="220">
        <f>D14*'Inflation Adjustment'!$C$17</f>
        <v>3724768.9285131642</v>
      </c>
    </row>
    <row r="15" spans="1:13" x14ac:dyDescent="0.25">
      <c r="A15" s="37">
        <v>2026</v>
      </c>
      <c r="B15" s="164">
        <f>'VMT Ton-Mile Driver Time'!G16*'Monetized Values and Factors'!$M$6+'VMT Ton-Mile Driver Time'!G60*'Monetized Values and Factors'!$O$6</f>
        <v>3461156.3200000003</v>
      </c>
      <c r="C15" s="151">
        <f>'VMT Ton-Mile Driver Time'!N16*'Monetized Values and Factors'!$M$6+'VMT Ton-Mile Driver Time'!N60*'Monetized Values and Factors'!$O$6</f>
        <v>8226420.7331173345</v>
      </c>
      <c r="D15" s="161">
        <f t="shared" si="0"/>
        <v>4765264.4131173342</v>
      </c>
      <c r="E15" s="220">
        <f>D15*'Inflation Adjustment'!$C$17</f>
        <v>4966358.5713508856</v>
      </c>
    </row>
    <row r="16" spans="1:13" x14ac:dyDescent="0.25">
      <c r="A16" s="37">
        <v>2027</v>
      </c>
      <c r="B16" s="164">
        <f>'VMT Ton-Mile Driver Time'!G17*'Monetized Values and Factors'!$M$6+'VMT Ton-Mile Driver Time'!G61*'Monetized Values and Factors'!$O$6</f>
        <v>4326445.4000000004</v>
      </c>
      <c r="C16" s="151">
        <f>'VMT Ton-Mile Driver Time'!N17*'Monetized Values and Factors'!$M$6+'VMT Ton-Mile Driver Time'!N61*'Monetized Values and Factors'!$O$6</f>
        <v>10283025.916396668</v>
      </c>
      <c r="D16" s="161">
        <f t="shared" si="0"/>
        <v>5956580.5163966678</v>
      </c>
      <c r="E16" s="220">
        <f>D16*'Inflation Adjustment'!$C$17</f>
        <v>6207948.2141886074</v>
      </c>
    </row>
    <row r="17" spans="1:5" x14ac:dyDescent="0.25">
      <c r="A17" s="37">
        <v>2028</v>
      </c>
      <c r="B17" s="164">
        <f>'VMT Ton-Mile Driver Time'!G18*'Monetized Values and Factors'!$M$6+'VMT Ton-Mile Driver Time'!G62*'Monetized Values and Factors'!$O$6</f>
        <v>5191734.4800000004</v>
      </c>
      <c r="C17" s="151">
        <f>'VMT Ton-Mile Driver Time'!N18*'Monetized Values and Factors'!$M$6+'VMT Ton-Mile Driver Time'!N62*'Monetized Values and Factors'!$O$6</f>
        <v>12339631.099676002</v>
      </c>
      <c r="D17" s="161">
        <f t="shared" si="0"/>
        <v>7147896.6196760014</v>
      </c>
      <c r="E17" s="220">
        <f>D17*'Inflation Adjustment'!$C$17</f>
        <v>7449537.8570263283</v>
      </c>
    </row>
    <row r="18" spans="1:5" x14ac:dyDescent="0.25">
      <c r="A18" s="37">
        <v>2029</v>
      </c>
      <c r="B18" s="164">
        <f>'VMT Ton-Mile Driver Time'!G19*'Monetized Values and Factors'!$M$6+'VMT Ton-Mile Driver Time'!G63*'Monetized Values and Factors'!$O$6</f>
        <v>6922312.6400000006</v>
      </c>
      <c r="C18" s="151">
        <f>'VMT Ton-Mile Driver Time'!N19*'Monetized Values and Factors'!$M$6+'VMT Ton-Mile Driver Time'!N63*'Monetized Values and Factors'!$O$6</f>
        <v>16452841.466234669</v>
      </c>
      <c r="D18" s="161">
        <f t="shared" si="0"/>
        <v>9530528.8262346685</v>
      </c>
      <c r="E18" s="220">
        <f>D18*'Inflation Adjustment'!$C$17</f>
        <v>9932717.1427017711</v>
      </c>
    </row>
    <row r="19" spans="1:5" x14ac:dyDescent="0.25">
      <c r="A19" s="37">
        <v>2030</v>
      </c>
      <c r="B19" s="164">
        <f>'VMT Ton-Mile Driver Time'!G20*'Monetized Values and Factors'!$M$6+'VMT Ton-Mile Driver Time'!G64*'Monetized Values and Factors'!$O$6</f>
        <v>8652890.8000000007</v>
      </c>
      <c r="C19" s="151">
        <f>'VMT Ton-Mile Driver Time'!N20*'Monetized Values and Factors'!$M$6+'VMT Ton-Mile Driver Time'!N64*'Monetized Values and Factors'!$O$6</f>
        <v>20566051.832793336</v>
      </c>
      <c r="D19" s="161">
        <f t="shared" si="0"/>
        <v>11913161.032793336</v>
      </c>
      <c r="E19" s="220">
        <f>D19*'Inflation Adjustment'!$C$17</f>
        <v>12415896.428377215</v>
      </c>
    </row>
    <row r="20" spans="1:5" x14ac:dyDescent="0.25">
      <c r="A20" s="37">
        <v>2031</v>
      </c>
      <c r="B20" s="164">
        <f>'VMT Ton-Mile Driver Time'!G21*'Monetized Values and Factors'!$M$6+'VMT Ton-Mile Driver Time'!G65*'Monetized Values and Factors'!$O$6</f>
        <v>10383468.960000001</v>
      </c>
      <c r="C20" s="151">
        <f>'VMT Ton-Mile Driver Time'!N21*'Monetized Values and Factors'!$M$6+'VMT Ton-Mile Driver Time'!N65*'Monetized Values and Factors'!$O$6</f>
        <v>24679262.199352004</v>
      </c>
      <c r="D20" s="161">
        <f t="shared" si="0"/>
        <v>14295793.239352003</v>
      </c>
      <c r="E20" s="220">
        <f>D20*'Inflation Adjustment'!$C$17</f>
        <v>14899075.714052657</v>
      </c>
    </row>
    <row r="21" spans="1:5" x14ac:dyDescent="0.25">
      <c r="A21" s="37">
        <v>2032</v>
      </c>
      <c r="B21" s="164">
        <f>'VMT Ton-Mile Driver Time'!G22*'Monetized Values and Factors'!$M$6+'VMT Ton-Mile Driver Time'!G66*'Monetized Values and Factors'!$O$6</f>
        <v>12633220.567999998</v>
      </c>
      <c r="C21" s="151">
        <f>'VMT Ton-Mile Driver Time'!N22*'Monetized Values and Factors'!$M$6+'VMT Ton-Mile Driver Time'!N66*'Monetized Values and Factors'!$O$6</f>
        <v>30026435.675878271</v>
      </c>
      <c r="D21" s="161">
        <f t="shared" si="0"/>
        <v>17393215.107878275</v>
      </c>
      <c r="E21" s="220">
        <f>D21*'Inflation Adjustment'!$C$17</f>
        <v>18127208.785430737</v>
      </c>
    </row>
    <row r="22" spans="1:5" x14ac:dyDescent="0.25">
      <c r="A22" s="37">
        <v>2033</v>
      </c>
      <c r="B22" s="164">
        <f>'VMT Ton-Mile Driver Time'!G23*'Monetized Values and Factors'!$M$6+'VMT Ton-Mile Driver Time'!G67*'Monetized Values and Factors'!$O$6</f>
        <v>12633220.567999998</v>
      </c>
      <c r="C22" s="151">
        <f>'VMT Ton-Mile Driver Time'!N23*'Monetized Values and Factors'!$M$6+'VMT Ton-Mile Driver Time'!N67*'Monetized Values and Factors'!$O$6</f>
        <v>30026435.675878271</v>
      </c>
      <c r="D22" s="161">
        <f t="shared" si="0"/>
        <v>17393215.107878275</v>
      </c>
      <c r="E22" s="220">
        <f>D22*'Inflation Adjustment'!$C$17</f>
        <v>18127208.785430737</v>
      </c>
    </row>
    <row r="23" spans="1:5" x14ac:dyDescent="0.25">
      <c r="A23" s="37">
        <v>2034</v>
      </c>
      <c r="B23" s="164">
        <f>'VMT Ton-Mile Driver Time'!G24*'Monetized Values and Factors'!$M$6+'VMT Ton-Mile Driver Time'!G68*'Monetized Values and Factors'!$O$6</f>
        <v>12633220.567999998</v>
      </c>
      <c r="C23" s="151">
        <f>'VMT Ton-Mile Driver Time'!N24*'Monetized Values and Factors'!$M$6+'VMT Ton-Mile Driver Time'!N68*'Monetized Values and Factors'!$O$6</f>
        <v>30026435.675878271</v>
      </c>
      <c r="D23" s="161">
        <f t="shared" si="0"/>
        <v>17393215.107878275</v>
      </c>
      <c r="E23" s="220">
        <f>D23*'Inflation Adjustment'!$C$17</f>
        <v>18127208.785430737</v>
      </c>
    </row>
    <row r="24" spans="1:5" x14ac:dyDescent="0.25">
      <c r="A24" s="37">
        <v>2035</v>
      </c>
      <c r="B24" s="164">
        <f>'VMT Ton-Mile Driver Time'!G25*'Monetized Values and Factors'!$M$6+'VMT Ton-Mile Driver Time'!G69*'Monetized Values and Factors'!$O$6</f>
        <v>12633220.567999998</v>
      </c>
      <c r="C24" s="151">
        <f>'VMT Ton-Mile Driver Time'!N25*'Monetized Values and Factors'!$M$6+'VMT Ton-Mile Driver Time'!N69*'Monetized Values and Factors'!$O$6</f>
        <v>30026435.675878271</v>
      </c>
      <c r="D24" s="161">
        <f t="shared" si="0"/>
        <v>17393215.107878275</v>
      </c>
      <c r="E24" s="220">
        <f>D24*'Inflation Adjustment'!$C$17</f>
        <v>18127208.785430737</v>
      </c>
    </row>
    <row r="25" spans="1:5" x14ac:dyDescent="0.25">
      <c r="A25" s="37">
        <v>2036</v>
      </c>
      <c r="B25" s="164">
        <f>'VMT Ton-Mile Driver Time'!G26*'Monetized Values and Factors'!$M$6+'VMT Ton-Mile Driver Time'!G70*'Monetized Values and Factors'!$O$6</f>
        <v>12633220.567999998</v>
      </c>
      <c r="C25" s="151">
        <f>'VMT Ton-Mile Driver Time'!N26*'Monetized Values and Factors'!$M$6+'VMT Ton-Mile Driver Time'!N70*'Monetized Values and Factors'!$O$6</f>
        <v>30026435.675878271</v>
      </c>
      <c r="D25" s="161">
        <f t="shared" si="0"/>
        <v>17393215.107878275</v>
      </c>
      <c r="E25" s="220">
        <f>D25*'Inflation Adjustment'!$C$17</f>
        <v>18127208.785430737</v>
      </c>
    </row>
    <row r="26" spans="1:5" x14ac:dyDescent="0.25">
      <c r="A26" s="37">
        <v>2037</v>
      </c>
      <c r="B26" s="164">
        <f>'VMT Ton-Mile Driver Time'!G27*'Monetized Values and Factors'!$M$6+'VMT Ton-Mile Driver Time'!G71*'Monetized Values and Factors'!$O$6</f>
        <v>12633220.567999998</v>
      </c>
      <c r="C26" s="151">
        <f>'VMT Ton-Mile Driver Time'!N27*'Monetized Values and Factors'!$M$6+'VMT Ton-Mile Driver Time'!N71*'Monetized Values and Factors'!$O$6</f>
        <v>30026435.675878271</v>
      </c>
      <c r="D26" s="161">
        <f t="shared" si="0"/>
        <v>17393215.107878275</v>
      </c>
      <c r="E26" s="220">
        <f>D26*'Inflation Adjustment'!$C$17</f>
        <v>18127208.785430737</v>
      </c>
    </row>
    <row r="27" spans="1:5" x14ac:dyDescent="0.25">
      <c r="A27" s="37">
        <v>2038</v>
      </c>
      <c r="B27" s="164">
        <f>'VMT Ton-Mile Driver Time'!G28*'Monetized Values and Factors'!$M$6+'VMT Ton-Mile Driver Time'!G72*'Monetized Values and Factors'!$O$6</f>
        <v>12633220.567999998</v>
      </c>
      <c r="C27" s="151">
        <f>'VMT Ton-Mile Driver Time'!N28*'Monetized Values and Factors'!$M$6+'VMT Ton-Mile Driver Time'!N72*'Monetized Values and Factors'!$O$6</f>
        <v>30026435.675878271</v>
      </c>
      <c r="D27" s="161">
        <f t="shared" si="0"/>
        <v>17393215.107878275</v>
      </c>
      <c r="E27" s="220">
        <f>D27*'Inflation Adjustment'!$C$17</f>
        <v>18127208.785430737</v>
      </c>
    </row>
    <row r="28" spans="1:5" x14ac:dyDescent="0.25">
      <c r="A28" s="37">
        <v>2039</v>
      </c>
      <c r="B28" s="164">
        <f>'VMT Ton-Mile Driver Time'!G29*'Monetized Values and Factors'!$M$6+'VMT Ton-Mile Driver Time'!G73*'Monetized Values and Factors'!$O$6</f>
        <v>12633220.567999998</v>
      </c>
      <c r="C28" s="151">
        <f>'VMT Ton-Mile Driver Time'!N29*'Monetized Values and Factors'!$M$6+'VMT Ton-Mile Driver Time'!N73*'Monetized Values and Factors'!$O$6</f>
        <v>30026435.675878271</v>
      </c>
      <c r="D28" s="161">
        <f t="shared" si="0"/>
        <v>17393215.107878275</v>
      </c>
      <c r="E28" s="220">
        <f>D28*'Inflation Adjustment'!$C$17</f>
        <v>18127208.785430737</v>
      </c>
    </row>
    <row r="29" spans="1:5" x14ac:dyDescent="0.25">
      <c r="A29" s="37">
        <v>2040</v>
      </c>
      <c r="B29" s="164">
        <f>'VMT Ton-Mile Driver Time'!G30*'Monetized Values and Factors'!$M$6+'VMT Ton-Mile Driver Time'!G74*'Monetized Values and Factors'!$O$6</f>
        <v>12633220.567999998</v>
      </c>
      <c r="C29" s="151">
        <f>'VMT Ton-Mile Driver Time'!N30*'Monetized Values and Factors'!$M$6+'VMT Ton-Mile Driver Time'!N74*'Monetized Values and Factors'!$O$6</f>
        <v>30026435.675878271</v>
      </c>
      <c r="D29" s="161">
        <f t="shared" si="0"/>
        <v>17393215.107878275</v>
      </c>
      <c r="E29" s="220">
        <f>D29*'Inflation Adjustment'!$C$17</f>
        <v>18127208.785430737</v>
      </c>
    </row>
    <row r="30" spans="1:5" x14ac:dyDescent="0.25">
      <c r="A30" s="37">
        <v>2041</v>
      </c>
      <c r="B30" s="164">
        <f>'VMT Ton-Mile Driver Time'!G31*'Monetized Values and Factors'!$M$6+'VMT Ton-Mile Driver Time'!G75*'Monetized Values and Factors'!$O$6</f>
        <v>12633220.567999998</v>
      </c>
      <c r="C30" s="151">
        <f>'VMT Ton-Mile Driver Time'!N31*'Monetized Values and Factors'!$M$6+'VMT Ton-Mile Driver Time'!N75*'Monetized Values and Factors'!$O$6</f>
        <v>30026435.675878271</v>
      </c>
      <c r="D30" s="161">
        <f t="shared" si="0"/>
        <v>17393215.107878275</v>
      </c>
      <c r="E30" s="220">
        <f>D30*'Inflation Adjustment'!$C$17</f>
        <v>18127208.785430737</v>
      </c>
    </row>
    <row r="31" spans="1:5" x14ac:dyDescent="0.25">
      <c r="A31" s="37">
        <v>2042</v>
      </c>
      <c r="B31" s="164">
        <f>'VMT Ton-Mile Driver Time'!G32*'Monetized Values and Factors'!$M$6+'VMT Ton-Mile Driver Time'!G76*'Monetized Values and Factors'!$O$6</f>
        <v>12633220.567999998</v>
      </c>
      <c r="C31" s="151">
        <f>'VMT Ton-Mile Driver Time'!N32*'Monetized Values and Factors'!$M$6+'VMT Ton-Mile Driver Time'!N76*'Monetized Values and Factors'!$O$6</f>
        <v>30026435.675878271</v>
      </c>
      <c r="D31" s="161">
        <f t="shared" si="0"/>
        <v>17393215.107878275</v>
      </c>
      <c r="E31" s="220">
        <f>D31*'Inflation Adjustment'!$C$17</f>
        <v>18127208.785430737</v>
      </c>
    </row>
    <row r="32" spans="1:5" x14ac:dyDescent="0.25">
      <c r="A32" s="37">
        <v>2043</v>
      </c>
      <c r="B32" s="164">
        <f>'VMT Ton-Mile Driver Time'!G33*'Monetized Values and Factors'!$M$6+'VMT Ton-Mile Driver Time'!G77*'Monetized Values and Factors'!$O$6</f>
        <v>12633220.567999998</v>
      </c>
      <c r="C32" s="151">
        <f>'VMT Ton-Mile Driver Time'!N33*'Monetized Values and Factors'!$M$6+'VMT Ton-Mile Driver Time'!N77*'Monetized Values and Factors'!$O$6</f>
        <v>30026435.675878271</v>
      </c>
      <c r="D32" s="161">
        <f t="shared" si="0"/>
        <v>17393215.107878275</v>
      </c>
      <c r="E32" s="220">
        <f>D32*'Inflation Adjustment'!$C$17</f>
        <v>18127208.785430737</v>
      </c>
    </row>
    <row r="33" spans="1:6" x14ac:dyDescent="0.25">
      <c r="A33" s="37">
        <v>2044</v>
      </c>
      <c r="B33" s="164">
        <f>'VMT Ton-Mile Driver Time'!G34*'Monetized Values and Factors'!$M$6+'VMT Ton-Mile Driver Time'!G78*'Monetized Values and Factors'!$O$6</f>
        <v>12633220.567999998</v>
      </c>
      <c r="C33" s="151">
        <f>'VMT Ton-Mile Driver Time'!N34*'Monetized Values and Factors'!$M$6+'VMT Ton-Mile Driver Time'!N78*'Monetized Values and Factors'!$O$6</f>
        <v>30026435.675878271</v>
      </c>
      <c r="D33" s="161">
        <f t="shared" si="0"/>
        <v>17393215.107878275</v>
      </c>
      <c r="E33" s="220">
        <f>D33*'Inflation Adjustment'!$C$17</f>
        <v>18127208.785430737</v>
      </c>
    </row>
    <row r="34" spans="1:6" x14ac:dyDescent="0.25">
      <c r="A34" s="37">
        <v>2045</v>
      </c>
      <c r="B34" s="164">
        <f>'VMT Ton-Mile Driver Time'!G35*'Monetized Values and Factors'!$M$6+'VMT Ton-Mile Driver Time'!G79*'Monetized Values and Factors'!$O$6</f>
        <v>12633220.567999998</v>
      </c>
      <c r="C34" s="151">
        <f>'VMT Ton-Mile Driver Time'!N35*'Monetized Values and Factors'!$M$6+'VMT Ton-Mile Driver Time'!N79*'Monetized Values and Factors'!$O$6</f>
        <v>30026435.675878271</v>
      </c>
      <c r="D34" s="161">
        <f t="shared" si="0"/>
        <v>17393215.107878275</v>
      </c>
      <c r="E34" s="220">
        <f>D34*'Inflation Adjustment'!$C$17</f>
        <v>18127208.785430737</v>
      </c>
    </row>
    <row r="35" spans="1:6" x14ac:dyDescent="0.25">
      <c r="A35" s="37">
        <v>2046</v>
      </c>
      <c r="B35" s="164">
        <f>'VMT Ton-Mile Driver Time'!G36*'Monetized Values and Factors'!$M$6+'VMT Ton-Mile Driver Time'!G80*'Monetized Values and Factors'!$O$6</f>
        <v>12633220.567999998</v>
      </c>
      <c r="C35" s="151">
        <f>'VMT Ton-Mile Driver Time'!N36*'Monetized Values and Factors'!$M$6+'VMT Ton-Mile Driver Time'!N80*'Monetized Values and Factors'!$O$6</f>
        <v>30026435.675878271</v>
      </c>
      <c r="D35" s="161">
        <f t="shared" si="0"/>
        <v>17393215.107878275</v>
      </c>
      <c r="E35" s="220">
        <f>D35*'Inflation Adjustment'!$C$17</f>
        <v>18127208.785430737</v>
      </c>
    </row>
    <row r="36" spans="1:6" x14ac:dyDescent="0.25">
      <c r="A36" s="37">
        <v>2047</v>
      </c>
      <c r="B36" s="164">
        <f>'VMT Ton-Mile Driver Time'!G37*'Monetized Values and Factors'!$M$6+'VMT Ton-Mile Driver Time'!G81*'Monetized Values and Factors'!$O$6</f>
        <v>12633220.567999998</v>
      </c>
      <c r="C36" s="151">
        <f>'VMT Ton-Mile Driver Time'!N37*'Monetized Values and Factors'!$M$6+'VMT Ton-Mile Driver Time'!N81*'Monetized Values and Factors'!$O$6</f>
        <v>30026435.675878271</v>
      </c>
      <c r="D36" s="161">
        <f t="shared" si="0"/>
        <v>17393215.107878275</v>
      </c>
      <c r="E36" s="220">
        <f>D36*'Inflation Adjustment'!$C$17</f>
        <v>18127208.785430737</v>
      </c>
    </row>
    <row r="37" spans="1:6" x14ac:dyDescent="0.25">
      <c r="A37" s="37">
        <v>2048</v>
      </c>
      <c r="B37" s="164">
        <f>'VMT Ton-Mile Driver Time'!G38*'Monetized Values and Factors'!$M$6+'VMT Ton-Mile Driver Time'!G82*'Monetized Values and Factors'!$O$6</f>
        <v>12633220.567999998</v>
      </c>
      <c r="C37" s="151">
        <f>'VMT Ton-Mile Driver Time'!N38*'Monetized Values and Factors'!$M$6+'VMT Ton-Mile Driver Time'!N82*'Monetized Values and Factors'!$O$6</f>
        <v>30026435.675878271</v>
      </c>
      <c r="D37" s="161">
        <f t="shared" si="0"/>
        <v>17393215.107878275</v>
      </c>
      <c r="E37" s="220">
        <f>D37*'Inflation Adjustment'!$C$17</f>
        <v>18127208.785430737</v>
      </c>
    </row>
    <row r="38" spans="1:6" x14ac:dyDescent="0.25">
      <c r="A38" s="37">
        <v>2049</v>
      </c>
      <c r="B38" s="164">
        <f>'VMT Ton-Mile Driver Time'!G39*'Monetized Values and Factors'!$M$6+'VMT Ton-Mile Driver Time'!G83*'Monetized Values and Factors'!$O$6</f>
        <v>12633220.567999998</v>
      </c>
      <c r="C38" s="151">
        <f>'VMT Ton-Mile Driver Time'!N39*'Monetized Values and Factors'!$M$6+'VMT Ton-Mile Driver Time'!N83*'Monetized Values and Factors'!$O$6</f>
        <v>30026435.675878271</v>
      </c>
      <c r="D38" s="161">
        <f t="shared" si="0"/>
        <v>17393215.107878275</v>
      </c>
      <c r="E38" s="220">
        <f>D38*'Inflation Adjustment'!$C$17</f>
        <v>18127208.785430737</v>
      </c>
    </row>
    <row r="39" spans="1:6" x14ac:dyDescent="0.25">
      <c r="A39" s="37">
        <v>2050</v>
      </c>
      <c r="B39" s="164">
        <f>'VMT Ton-Mile Driver Time'!G40*'Monetized Values and Factors'!$M$6+'VMT Ton-Mile Driver Time'!G84*'Monetized Values and Factors'!$O$6</f>
        <v>12633220.567999998</v>
      </c>
      <c r="C39" s="151">
        <f>'VMT Ton-Mile Driver Time'!N40*'Monetized Values and Factors'!$M$6+'VMT Ton-Mile Driver Time'!N84*'Monetized Values and Factors'!$O$6</f>
        <v>30026435.675878271</v>
      </c>
      <c r="D39" s="161">
        <f t="shared" si="0"/>
        <v>17393215.107878275</v>
      </c>
      <c r="E39" s="220">
        <f>D39*'Inflation Adjustment'!$C$17</f>
        <v>18127208.785430737</v>
      </c>
    </row>
    <row r="40" spans="1:6" x14ac:dyDescent="0.25">
      <c r="A40" s="37">
        <v>2051</v>
      </c>
      <c r="B40" s="164">
        <f>'VMT Ton-Mile Driver Time'!G41*'Monetized Values and Factors'!$M$6+'VMT Ton-Mile Driver Time'!G85*'Monetized Values and Factors'!$O$6</f>
        <v>12633220.567999998</v>
      </c>
      <c r="C40" s="151">
        <f>'VMT Ton-Mile Driver Time'!N41*'Monetized Values and Factors'!$M$6+'VMT Ton-Mile Driver Time'!N85*'Monetized Values and Factors'!$O$6</f>
        <v>30026435.675878271</v>
      </c>
      <c r="D40" s="161">
        <f t="shared" si="0"/>
        <v>17393215.107878275</v>
      </c>
      <c r="E40" s="220">
        <f>D40*'Inflation Adjustment'!$C$17</f>
        <v>18127208.785430737</v>
      </c>
    </row>
    <row r="41" spans="1:6" x14ac:dyDescent="0.25">
      <c r="A41" s="186">
        <v>2052</v>
      </c>
      <c r="B41" s="328">
        <f>'VMT Ton-Mile Driver Time'!G42*'Monetized Values and Factors'!$M$6+'VMT Ton-Mile Driver Time'!G86*'Monetized Values and Factors'!$O$6</f>
        <v>12633220.567999998</v>
      </c>
      <c r="C41" s="325">
        <f>'VMT Ton-Mile Driver Time'!N42*'Monetized Values and Factors'!$M$6+'VMT Ton-Mile Driver Time'!N86*'Monetized Values and Factors'!$O$6</f>
        <v>30026435.675878271</v>
      </c>
      <c r="D41" s="326">
        <f t="shared" ref="D41" si="1">C41-B41</f>
        <v>17393215.107878275</v>
      </c>
      <c r="E41" s="329">
        <f>D41*'Inflation Adjustment'!$C$17</f>
        <v>18127208.785430737</v>
      </c>
    </row>
    <row r="42" spans="1:6" ht="15.75" thickBot="1" x14ac:dyDescent="0.3">
      <c r="A42" s="153" t="s">
        <v>1</v>
      </c>
      <c r="B42" s="165">
        <f>SUM(B3:B41)</f>
        <v>309427375.00799996</v>
      </c>
      <c r="C42" s="165">
        <f t="shared" ref="C42:E42" si="2">SUM(C3:C41)</f>
        <v>735442013.54068995</v>
      </c>
      <c r="D42" s="165">
        <f t="shared" si="2"/>
        <v>426014638.53268969</v>
      </c>
      <c r="E42" s="165">
        <f t="shared" si="2"/>
        <v>443992456.27876914</v>
      </c>
      <c r="F42" s="284">
        <f>E42/30</f>
        <v>14799748.542625638</v>
      </c>
    </row>
    <row r="44" spans="1:6" x14ac:dyDescent="0.25">
      <c r="B44" s="284"/>
      <c r="C44" s="284"/>
      <c r="D44" s="284"/>
      <c r="E44" s="284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45"/>
  <sheetViews>
    <sheetView topLeftCell="A7" zoomScale="70" zoomScaleNormal="70" workbookViewId="0">
      <selection activeCell="J45" sqref="J45"/>
    </sheetView>
  </sheetViews>
  <sheetFormatPr defaultColWidth="8.85546875" defaultRowHeight="15" x14ac:dyDescent="0.25"/>
  <cols>
    <col min="1" max="1" width="34.7109375" style="3" bestFit="1" customWidth="1"/>
    <col min="2" max="2" width="23" style="3" customWidth="1"/>
    <col min="3" max="3" width="24.7109375" style="3" customWidth="1"/>
    <col min="4" max="4" width="19.85546875" style="3" customWidth="1"/>
    <col min="5" max="5" width="22" style="3" customWidth="1"/>
    <col min="6" max="6" width="23" style="3" customWidth="1"/>
    <col min="7" max="7" width="20.42578125" style="3" customWidth="1"/>
    <col min="8" max="8" width="18.42578125" style="3" customWidth="1"/>
    <col min="9" max="9" width="18.85546875" style="3" customWidth="1"/>
    <col min="10" max="10" width="20.5703125" style="3" customWidth="1"/>
    <col min="11" max="16384" width="8.85546875" style="3"/>
  </cols>
  <sheetData>
    <row r="1" spans="1:10" ht="27" customHeight="1" thickBot="1" x14ac:dyDescent="0.4">
      <c r="A1" s="477" t="s">
        <v>224</v>
      </c>
      <c r="B1" s="478"/>
      <c r="C1" s="478"/>
      <c r="D1" s="478"/>
      <c r="E1" s="478"/>
      <c r="F1" s="478"/>
      <c r="G1" s="478"/>
      <c r="H1" s="478"/>
      <c r="I1" s="478"/>
      <c r="J1" s="478"/>
    </row>
    <row r="2" spans="1:10" ht="60" customHeight="1" x14ac:dyDescent="0.25">
      <c r="A2" s="285" t="s">
        <v>2</v>
      </c>
      <c r="B2" s="156" t="s">
        <v>282</v>
      </c>
      <c r="C2" s="157" t="s">
        <v>283</v>
      </c>
      <c r="D2" s="158" t="s">
        <v>284</v>
      </c>
      <c r="E2" s="156" t="s">
        <v>285</v>
      </c>
      <c r="F2" s="157" t="s">
        <v>286</v>
      </c>
      <c r="G2" s="158" t="s">
        <v>287</v>
      </c>
      <c r="H2" s="156" t="s">
        <v>288</v>
      </c>
      <c r="I2" s="157" t="s">
        <v>289</v>
      </c>
      <c r="J2" s="158" t="s">
        <v>290</v>
      </c>
    </row>
    <row r="3" spans="1:10" x14ac:dyDescent="0.25">
      <c r="A3" s="37">
        <v>2014</v>
      </c>
      <c r="B3" s="159">
        <f>'VMT Ton-Mile Driver Time'!F4*'Monetized Values and Factors'!$M$12+'VMT Ton-Mile Driver Time'!G48*'Monetized Values and Factors'!$M$13</f>
        <v>0</v>
      </c>
      <c r="C3" s="151">
        <f>'VMT Ton-Mile Driver Time'!M4*'Monetized Values and Factors'!$M$12+'VMT Ton-Mile Driver Time'!N48*'Monetized Values and Factors'!$M$13</f>
        <v>0</v>
      </c>
      <c r="D3" s="160">
        <f>C3-B3</f>
        <v>0</v>
      </c>
      <c r="E3" s="161">
        <f>'VMT Ton-Mile Driver Time'!H4*'Monetized Values and Factors'!$O$17+'VMT Ton-Mile Driver Time'!H48*'Monetized Values and Factors'!$O$18</f>
        <v>0</v>
      </c>
      <c r="F3" s="152">
        <f>'VMT Ton-Mile Driver Time'!O4*'Monetized Values and Factors'!$O$17+'VMT Ton-Mile Driver Time'!O48*'Monetized Values and Factors'!$O$18</f>
        <v>0</v>
      </c>
      <c r="G3" s="43">
        <f>F3-E3</f>
        <v>0</v>
      </c>
      <c r="H3" s="162">
        <f t="shared" ref="H3:J4" si="0">B3+E3</f>
        <v>0</v>
      </c>
      <c r="I3" s="42">
        <f t="shared" si="0"/>
        <v>0</v>
      </c>
      <c r="J3" s="43">
        <f t="shared" si="0"/>
        <v>0</v>
      </c>
    </row>
    <row r="4" spans="1:10" x14ac:dyDescent="0.25">
      <c r="A4" s="37">
        <v>2015</v>
      </c>
      <c r="B4" s="159">
        <f>'VMT Ton-Mile Driver Time'!F5*'Monetized Values and Factors'!$M$12+'VMT Ton-Mile Driver Time'!G49*'Monetized Values and Factors'!$M$13</f>
        <v>0</v>
      </c>
      <c r="C4" s="151">
        <f>'VMT Ton-Mile Driver Time'!M5*'Monetized Values and Factors'!$M$12+'VMT Ton-Mile Driver Time'!N49*'Monetized Values and Factors'!$M$13</f>
        <v>0</v>
      </c>
      <c r="D4" s="160">
        <f>C4-B4</f>
        <v>0</v>
      </c>
      <c r="E4" s="161">
        <f>'VMT Ton-Mile Driver Time'!H5*'Monetized Values and Factors'!$O$17+'VMT Ton-Mile Driver Time'!H49*'Monetized Values and Factors'!$O$18</f>
        <v>0</v>
      </c>
      <c r="F4" s="152">
        <f>'VMT Ton-Mile Driver Time'!O5*'Monetized Values and Factors'!$O$17+'VMT Ton-Mile Driver Time'!O49*'Monetized Values and Factors'!$O$18</f>
        <v>0</v>
      </c>
      <c r="G4" s="43">
        <f>F4-E4</f>
        <v>0</v>
      </c>
      <c r="H4" s="162">
        <f t="shared" si="0"/>
        <v>0</v>
      </c>
      <c r="I4" s="42">
        <f t="shared" si="0"/>
        <v>0</v>
      </c>
      <c r="J4" s="43">
        <f t="shared" si="0"/>
        <v>0</v>
      </c>
    </row>
    <row r="5" spans="1:10" x14ac:dyDescent="0.25">
      <c r="A5" s="37">
        <v>2016</v>
      </c>
      <c r="B5" s="159">
        <f>'VMT Ton-Mile Driver Time'!F6*'Monetized Values and Factors'!$M$12+'VMT Ton-Mile Driver Time'!G50*'Monetized Values and Factors'!$M$13</f>
        <v>0</v>
      </c>
      <c r="C5" s="151">
        <f>'VMT Ton-Mile Driver Time'!M6*'Monetized Values and Factors'!$M$12+'VMT Ton-Mile Driver Time'!N50*'Monetized Values and Factors'!$M$13</f>
        <v>0</v>
      </c>
      <c r="D5" s="160">
        <f t="shared" ref="D5:D40" si="1">C5-B5</f>
        <v>0</v>
      </c>
      <c r="E5" s="161">
        <f>'VMT Ton-Mile Driver Time'!H6*'Monetized Values and Factors'!$O$17+'VMT Ton-Mile Driver Time'!H50*'Monetized Values and Factors'!$O$18</f>
        <v>0</v>
      </c>
      <c r="F5" s="152">
        <f>'VMT Ton-Mile Driver Time'!O6*'Monetized Values and Factors'!$O$17+'VMT Ton-Mile Driver Time'!O50*'Monetized Values and Factors'!$O$18</f>
        <v>0</v>
      </c>
      <c r="G5" s="43">
        <f t="shared" ref="G5:G40" si="2">F5-E5</f>
        <v>0</v>
      </c>
      <c r="H5" s="162">
        <f t="shared" ref="H5:H42" si="3">B5+E5</f>
        <v>0</v>
      </c>
      <c r="I5" s="42">
        <f t="shared" ref="I5:I42" si="4">C5+F5</f>
        <v>0</v>
      </c>
      <c r="J5" s="43">
        <f t="shared" ref="J5:J42" si="5">D5+G5</f>
        <v>0</v>
      </c>
    </row>
    <row r="6" spans="1:10" x14ac:dyDescent="0.25">
      <c r="A6" s="37">
        <v>2017</v>
      </c>
      <c r="B6" s="159">
        <f>'VMT Ton-Mile Driver Time'!F7*'Monetized Values and Factors'!$M$12+'VMT Ton-Mile Driver Time'!G51*'Monetized Values and Factors'!$M$13</f>
        <v>0</v>
      </c>
      <c r="C6" s="151">
        <f>'VMT Ton-Mile Driver Time'!M7*'Monetized Values and Factors'!$M$12+'VMT Ton-Mile Driver Time'!N51*'Monetized Values and Factors'!$M$13</f>
        <v>0</v>
      </c>
      <c r="D6" s="160">
        <f t="shared" si="1"/>
        <v>0</v>
      </c>
      <c r="E6" s="161">
        <f>'VMT Ton-Mile Driver Time'!H7*'Monetized Values and Factors'!$O$17+'VMT Ton-Mile Driver Time'!H51*'Monetized Values and Factors'!$O$18</f>
        <v>0</v>
      </c>
      <c r="F6" s="152">
        <f>'VMT Ton-Mile Driver Time'!O7*'Monetized Values and Factors'!$O$17+'VMT Ton-Mile Driver Time'!O51*'Monetized Values and Factors'!$O$18</f>
        <v>0</v>
      </c>
      <c r="G6" s="43">
        <f t="shared" si="2"/>
        <v>0</v>
      </c>
      <c r="H6" s="162">
        <f t="shared" si="3"/>
        <v>0</v>
      </c>
      <c r="I6" s="42">
        <f t="shared" si="4"/>
        <v>0</v>
      </c>
      <c r="J6" s="43">
        <f t="shared" si="5"/>
        <v>0</v>
      </c>
    </row>
    <row r="7" spans="1:10" x14ac:dyDescent="0.25">
      <c r="A7" s="37">
        <v>2018</v>
      </c>
      <c r="B7" s="159">
        <f>'VMT Ton-Mile Driver Time'!F8*'Monetized Values and Factors'!$M$12+'VMT Ton-Mile Driver Time'!G52*'Monetized Values and Factors'!$M$13</f>
        <v>0</v>
      </c>
      <c r="C7" s="151">
        <f>'VMT Ton-Mile Driver Time'!M8*'Monetized Values and Factors'!$M$12+'VMT Ton-Mile Driver Time'!N52*'Monetized Values and Factors'!$M$13</f>
        <v>0</v>
      </c>
      <c r="D7" s="160">
        <f t="shared" si="1"/>
        <v>0</v>
      </c>
      <c r="E7" s="161">
        <f>'VMT Ton-Mile Driver Time'!H8*'Monetized Values and Factors'!$O$17+'VMT Ton-Mile Driver Time'!H52*'Monetized Values and Factors'!$O$18</f>
        <v>0</v>
      </c>
      <c r="F7" s="152">
        <f>'VMT Ton-Mile Driver Time'!O8*'Monetized Values and Factors'!$O$17+'VMT Ton-Mile Driver Time'!O52*'Monetized Values and Factors'!$O$18</f>
        <v>0</v>
      </c>
      <c r="G7" s="43">
        <f t="shared" si="2"/>
        <v>0</v>
      </c>
      <c r="H7" s="162">
        <f t="shared" si="3"/>
        <v>0</v>
      </c>
      <c r="I7" s="42">
        <f t="shared" si="4"/>
        <v>0</v>
      </c>
      <c r="J7" s="43">
        <f t="shared" si="5"/>
        <v>0</v>
      </c>
    </row>
    <row r="8" spans="1:10" x14ac:dyDescent="0.25">
      <c r="A8" s="37">
        <v>2019</v>
      </c>
      <c r="B8" s="159">
        <f>'VMT Ton-Mile Driver Time'!F9*'Monetized Values and Factors'!$M$12+'VMT Ton-Mile Driver Time'!G53*'Monetized Values and Factors'!$M$13</f>
        <v>0</v>
      </c>
      <c r="C8" s="151">
        <f>'VMT Ton-Mile Driver Time'!M9*'Monetized Values and Factors'!$M$12+'VMT Ton-Mile Driver Time'!N53*'Monetized Values and Factors'!$M$13</f>
        <v>0</v>
      </c>
      <c r="D8" s="160">
        <f t="shared" si="1"/>
        <v>0</v>
      </c>
      <c r="E8" s="161">
        <f>'VMT Ton-Mile Driver Time'!H9*'Monetized Values and Factors'!$O$17+'VMT Ton-Mile Driver Time'!H53*'Monetized Values and Factors'!$O$18</f>
        <v>0</v>
      </c>
      <c r="F8" s="152">
        <f>'VMT Ton-Mile Driver Time'!O9*'Monetized Values and Factors'!$O$17+'VMT Ton-Mile Driver Time'!O53*'Monetized Values and Factors'!$O$18</f>
        <v>0</v>
      </c>
      <c r="G8" s="43">
        <f t="shared" si="2"/>
        <v>0</v>
      </c>
      <c r="H8" s="162">
        <f t="shared" si="3"/>
        <v>0</v>
      </c>
      <c r="I8" s="42">
        <f t="shared" si="4"/>
        <v>0</v>
      </c>
      <c r="J8" s="43">
        <f t="shared" si="5"/>
        <v>0</v>
      </c>
    </row>
    <row r="9" spans="1:10" x14ac:dyDescent="0.25">
      <c r="A9" s="37">
        <v>2020</v>
      </c>
      <c r="B9" s="159">
        <f>'VMT Ton-Mile Driver Time'!F10*'Monetized Values and Factors'!$M$12+'VMT Ton-Mile Driver Time'!G54*'Monetized Values and Factors'!$M$13</f>
        <v>0</v>
      </c>
      <c r="C9" s="151">
        <f>'VMT Ton-Mile Driver Time'!M10*'Monetized Values and Factors'!$M$12+'VMT Ton-Mile Driver Time'!N54*'Monetized Values and Factors'!$M$13</f>
        <v>0</v>
      </c>
      <c r="D9" s="160">
        <f t="shared" si="1"/>
        <v>0</v>
      </c>
      <c r="E9" s="161">
        <f>'VMT Ton-Mile Driver Time'!H10*'Monetized Values and Factors'!$O$17+'VMT Ton-Mile Driver Time'!H54*'Monetized Values and Factors'!$O$18</f>
        <v>0</v>
      </c>
      <c r="F9" s="152">
        <f>'VMT Ton-Mile Driver Time'!O10*'Monetized Values and Factors'!$O$17+'VMT Ton-Mile Driver Time'!O54*'Monetized Values and Factors'!$O$18</f>
        <v>0</v>
      </c>
      <c r="G9" s="43">
        <f t="shared" si="2"/>
        <v>0</v>
      </c>
      <c r="H9" s="162">
        <f t="shared" si="3"/>
        <v>0</v>
      </c>
      <c r="I9" s="42">
        <f t="shared" si="4"/>
        <v>0</v>
      </c>
      <c r="J9" s="43">
        <f t="shared" si="5"/>
        <v>0</v>
      </c>
    </row>
    <row r="10" spans="1:10" x14ac:dyDescent="0.25">
      <c r="A10" s="37">
        <v>2021</v>
      </c>
      <c r="B10" s="159">
        <f>'VMT Ton-Mile Driver Time'!F11*'Monetized Values and Factors'!$M$12+'VMT Ton-Mile Driver Time'!G55*'Monetized Values and Factors'!$M$13</f>
        <v>0</v>
      </c>
      <c r="C10" s="151">
        <f>'VMT Ton-Mile Driver Time'!M11*'Monetized Values and Factors'!$M$12+'VMT Ton-Mile Driver Time'!N55*'Monetized Values and Factors'!$M$13</f>
        <v>0</v>
      </c>
      <c r="D10" s="160">
        <f t="shared" si="1"/>
        <v>0</v>
      </c>
      <c r="E10" s="161">
        <f>'VMT Ton-Mile Driver Time'!H11*'Monetized Values and Factors'!$O$17+'VMT Ton-Mile Driver Time'!H55*'Monetized Values and Factors'!$O$18</f>
        <v>0</v>
      </c>
      <c r="F10" s="152">
        <f>'VMT Ton-Mile Driver Time'!O11*'Monetized Values and Factors'!$O$17+'VMT Ton-Mile Driver Time'!O55*'Monetized Values and Factors'!$O$18</f>
        <v>0</v>
      </c>
      <c r="G10" s="43">
        <f t="shared" si="2"/>
        <v>0</v>
      </c>
      <c r="H10" s="162">
        <f t="shared" si="3"/>
        <v>0</v>
      </c>
      <c r="I10" s="42">
        <f t="shared" si="4"/>
        <v>0</v>
      </c>
      <c r="J10" s="43">
        <f t="shared" si="5"/>
        <v>0</v>
      </c>
    </row>
    <row r="11" spans="1:10" x14ac:dyDescent="0.25">
      <c r="A11" s="37">
        <v>2022</v>
      </c>
      <c r="B11" s="159">
        <f>'VMT Ton-Mile Driver Time'!F12*'Monetized Values and Factors'!$M$12+'VMT Ton-Mile Driver Time'!G56*'Monetized Values and Factors'!$M$13</f>
        <v>0</v>
      </c>
      <c r="C11" s="151">
        <f>'VMT Ton-Mile Driver Time'!M12*'Monetized Values and Factors'!$M$12+'VMT Ton-Mile Driver Time'!N56*'Monetized Values and Factors'!$M$13</f>
        <v>0</v>
      </c>
      <c r="D11" s="160">
        <f t="shared" si="1"/>
        <v>0</v>
      </c>
      <c r="E11" s="161">
        <f>'VMT Ton-Mile Driver Time'!H12*'Monetized Values and Factors'!$O$17+'VMT Ton-Mile Driver Time'!H56*'Monetized Values and Factors'!$O$18</f>
        <v>0</v>
      </c>
      <c r="F11" s="152">
        <f>'VMT Ton-Mile Driver Time'!O12*'Monetized Values and Factors'!$O$17+'VMT Ton-Mile Driver Time'!O56*'Monetized Values and Factors'!$O$18</f>
        <v>0</v>
      </c>
      <c r="G11" s="43">
        <f t="shared" si="2"/>
        <v>0</v>
      </c>
      <c r="H11" s="162">
        <f>B11+E11</f>
        <v>0</v>
      </c>
      <c r="I11" s="42">
        <f t="shared" si="4"/>
        <v>0</v>
      </c>
      <c r="J11" s="43">
        <f t="shared" si="5"/>
        <v>0</v>
      </c>
    </row>
    <row r="12" spans="1:10" x14ac:dyDescent="0.25">
      <c r="A12" s="37">
        <v>2023</v>
      </c>
      <c r="B12" s="159">
        <f>'VMT Ton-Mile Driver Time'!F13*'Monetized Values and Factors'!$M$12+'VMT Ton-Mile Driver Time'!G57*'Monetized Values and Factors'!$M$13</f>
        <v>3104931.3272235291</v>
      </c>
      <c r="C12" s="151">
        <f>'VMT Ton-Mile Driver Time'!M13*'Monetized Values and Factors'!$M$12+'VMT Ton-Mile Driver Time'!N57*'Monetized Values and Factors'!$M$13</f>
        <v>7640845.7574023902</v>
      </c>
      <c r="D12" s="160">
        <f t="shared" si="1"/>
        <v>4535914.4301788611</v>
      </c>
      <c r="E12" s="161">
        <f>'VMT Ton-Mile Driver Time'!H13*'Monetized Values and Factors'!$O$17+'VMT Ton-Mile Driver Time'!H57*'Monetized Values and Factors'!$O$18</f>
        <v>1146530.0813888889</v>
      </c>
      <c r="F12" s="152">
        <f>'VMT Ton-Mile Driver Time'!O13*'Monetized Values and Factors'!$O$17+'VMT Ton-Mile Driver Time'!O57*'Monetized Values and Factors'!$O$18</f>
        <v>1948550.0999442346</v>
      </c>
      <c r="G12" s="43">
        <f t="shared" si="2"/>
        <v>802020.01855534571</v>
      </c>
      <c r="H12" s="162">
        <f t="shared" si="3"/>
        <v>4251461.408612418</v>
      </c>
      <c r="I12" s="42">
        <f t="shared" si="4"/>
        <v>9589395.8573466241</v>
      </c>
      <c r="J12" s="43">
        <f t="shared" si="5"/>
        <v>5337934.4487342071</v>
      </c>
    </row>
    <row r="13" spans="1:10" x14ac:dyDescent="0.25">
      <c r="A13" s="37">
        <v>2024</v>
      </c>
      <c r="B13" s="159">
        <f>'VMT Ton-Mile Driver Time'!F14*'Monetized Values and Factors'!$M$12+'VMT Ton-Mile Driver Time'!G58*'Monetized Values and Factors'!$M$13</f>
        <v>6209862.6544470582</v>
      </c>
      <c r="C13" s="151">
        <f>'VMT Ton-Mile Driver Time'!M14*'Monetized Values and Factors'!$M$12+'VMT Ton-Mile Driver Time'!N58*'Monetized Values and Factors'!$M$13</f>
        <v>15281691.51480478</v>
      </c>
      <c r="D13" s="160">
        <f t="shared" si="1"/>
        <v>9071828.8603577223</v>
      </c>
      <c r="E13" s="161">
        <f>'VMT Ton-Mile Driver Time'!H14*'Monetized Values and Factors'!$O$17+'VMT Ton-Mile Driver Time'!H58*'Monetized Values and Factors'!$O$18</f>
        <v>2293060.1627777778</v>
      </c>
      <c r="F13" s="152">
        <f>'VMT Ton-Mile Driver Time'!O14*'Monetized Values and Factors'!$O$17+'VMT Ton-Mile Driver Time'!O58*'Monetized Values and Factors'!$O$18</f>
        <v>3897100.1998884692</v>
      </c>
      <c r="G13" s="43">
        <f t="shared" si="2"/>
        <v>1604040.0371106914</v>
      </c>
      <c r="H13" s="162">
        <f t="shared" si="3"/>
        <v>8502922.817224836</v>
      </c>
      <c r="I13" s="42">
        <f t="shared" si="4"/>
        <v>19178791.714693248</v>
      </c>
      <c r="J13" s="43">
        <f t="shared" si="5"/>
        <v>10675868.897468414</v>
      </c>
    </row>
    <row r="14" spans="1:10" x14ac:dyDescent="0.25">
      <c r="A14" s="37">
        <v>2025</v>
      </c>
      <c r="B14" s="159">
        <f>'VMT Ton-Mile Driver Time'!F15*'Monetized Values and Factors'!$M$12+'VMT Ton-Mile Driver Time'!G59*'Monetized Values and Factors'!$M$13</f>
        <v>9314793.9816705883</v>
      </c>
      <c r="C14" s="151">
        <f>'VMT Ton-Mile Driver Time'!M15*'Monetized Values and Factors'!$M$12+'VMT Ton-Mile Driver Time'!N59*'Monetized Values and Factors'!$M$13</f>
        <v>22922537.272207167</v>
      </c>
      <c r="D14" s="160">
        <f t="shared" si="1"/>
        <v>13607743.290536579</v>
      </c>
      <c r="E14" s="161">
        <f>'VMT Ton-Mile Driver Time'!H15*'Monetized Values and Factors'!$O$17+'VMT Ton-Mile Driver Time'!H59*'Monetized Values and Factors'!$O$18</f>
        <v>3439590.2441666671</v>
      </c>
      <c r="F14" s="152">
        <f>'VMT Ton-Mile Driver Time'!O15*'Monetized Values and Factors'!$O$17+'VMT Ton-Mile Driver Time'!O59*'Monetized Values and Factors'!$O$18</f>
        <v>5845650.2998327026</v>
      </c>
      <c r="G14" s="43">
        <f t="shared" si="2"/>
        <v>2406060.0556660355</v>
      </c>
      <c r="H14" s="162">
        <f t="shared" si="3"/>
        <v>12754384.225837255</v>
      </c>
      <c r="I14" s="42">
        <f t="shared" si="4"/>
        <v>28768187.572039869</v>
      </c>
      <c r="J14" s="43">
        <f t="shared" si="5"/>
        <v>16013803.346202614</v>
      </c>
    </row>
    <row r="15" spans="1:10" x14ac:dyDescent="0.25">
      <c r="A15" s="37">
        <v>2026</v>
      </c>
      <c r="B15" s="159">
        <f>'VMT Ton-Mile Driver Time'!F16*'Monetized Values and Factors'!$M$12+'VMT Ton-Mile Driver Time'!G60*'Monetized Values and Factors'!$M$13</f>
        <v>12419725.308894116</v>
      </c>
      <c r="C15" s="151">
        <f>'VMT Ton-Mile Driver Time'!M16*'Monetized Values and Factors'!$M$12+'VMT Ton-Mile Driver Time'!N60*'Monetized Values and Factors'!$M$13</f>
        <v>30563383.029609561</v>
      </c>
      <c r="D15" s="160">
        <f t="shared" si="1"/>
        <v>18143657.720715445</v>
      </c>
      <c r="E15" s="161">
        <f>'VMT Ton-Mile Driver Time'!H16*'Monetized Values and Factors'!$O$17+'VMT Ton-Mile Driver Time'!H60*'Monetized Values and Factors'!$O$18</f>
        <v>4586120.3255555555</v>
      </c>
      <c r="F15" s="152">
        <f>'VMT Ton-Mile Driver Time'!O16*'Monetized Values and Factors'!$O$17+'VMT Ton-Mile Driver Time'!O60*'Monetized Values and Factors'!$O$18</f>
        <v>7794200.3997769384</v>
      </c>
      <c r="G15" s="43">
        <f t="shared" si="2"/>
        <v>3208080.0742213828</v>
      </c>
      <c r="H15" s="162">
        <f t="shared" si="3"/>
        <v>17005845.634449672</v>
      </c>
      <c r="I15" s="42">
        <f t="shared" si="4"/>
        <v>38357583.429386497</v>
      </c>
      <c r="J15" s="43">
        <f t="shared" si="5"/>
        <v>21351737.794936828</v>
      </c>
    </row>
    <row r="16" spans="1:10" x14ac:dyDescent="0.25">
      <c r="A16" s="37">
        <v>2027</v>
      </c>
      <c r="B16" s="159">
        <f>'VMT Ton-Mile Driver Time'!F17*'Monetized Values and Factors'!$M$12+'VMT Ton-Mile Driver Time'!G61*'Monetized Values and Factors'!$M$13</f>
        <v>15524656.636117646</v>
      </c>
      <c r="C16" s="151">
        <f>'VMT Ton-Mile Driver Time'!M17*'Monetized Values and Factors'!$M$12+'VMT Ton-Mile Driver Time'!N61*'Monetized Values and Factors'!$M$13</f>
        <v>38204228.787011951</v>
      </c>
      <c r="D16" s="160">
        <f t="shared" si="1"/>
        <v>22679572.150894307</v>
      </c>
      <c r="E16" s="161">
        <f>'VMT Ton-Mile Driver Time'!H17*'Monetized Values and Factors'!$O$17+'VMT Ton-Mile Driver Time'!H61*'Monetized Values and Factors'!$O$18</f>
        <v>5732650.4069444453</v>
      </c>
      <c r="F16" s="152">
        <f>'VMT Ton-Mile Driver Time'!O17*'Monetized Values and Factors'!$O$17+'VMT Ton-Mile Driver Time'!O61*'Monetized Values and Factors'!$O$18</f>
        <v>9742750.4997211695</v>
      </c>
      <c r="G16" s="43">
        <f t="shared" si="2"/>
        <v>4010100.0927767241</v>
      </c>
      <c r="H16" s="162">
        <f t="shared" si="3"/>
        <v>21257307.043062091</v>
      </c>
      <c r="I16" s="42">
        <f t="shared" si="4"/>
        <v>47946979.286733121</v>
      </c>
      <c r="J16" s="43">
        <f t="shared" si="5"/>
        <v>26689672.24367103</v>
      </c>
    </row>
    <row r="17" spans="1:10" x14ac:dyDescent="0.25">
      <c r="A17" s="37">
        <v>2028</v>
      </c>
      <c r="B17" s="159">
        <f>'VMT Ton-Mile Driver Time'!F18*'Monetized Values and Factors'!$M$12+'VMT Ton-Mile Driver Time'!G62*'Monetized Values and Factors'!$M$13</f>
        <v>18629587.963341177</v>
      </c>
      <c r="C17" s="151">
        <f>'VMT Ton-Mile Driver Time'!M18*'Monetized Values and Factors'!$M$12+'VMT Ton-Mile Driver Time'!N62*'Monetized Values and Factors'!$M$13</f>
        <v>45845074.544414334</v>
      </c>
      <c r="D17" s="160">
        <f t="shared" si="1"/>
        <v>27215486.581073157</v>
      </c>
      <c r="E17" s="161">
        <f>'VMT Ton-Mile Driver Time'!H18*'Monetized Values and Factors'!$O$17+'VMT Ton-Mile Driver Time'!H62*'Monetized Values and Factors'!$O$18</f>
        <v>6879180.4883333342</v>
      </c>
      <c r="F17" s="152">
        <f>'VMT Ton-Mile Driver Time'!O18*'Monetized Values and Factors'!$O$17+'VMT Ton-Mile Driver Time'!O62*'Monetized Values and Factors'!$O$18</f>
        <v>11691300.599665405</v>
      </c>
      <c r="G17" s="43">
        <f t="shared" si="2"/>
        <v>4812120.111332071</v>
      </c>
      <c r="H17" s="162">
        <f t="shared" si="3"/>
        <v>25508768.45167451</v>
      </c>
      <c r="I17" s="42">
        <f t="shared" si="4"/>
        <v>57536375.144079737</v>
      </c>
      <c r="J17" s="43">
        <f t="shared" si="5"/>
        <v>32027606.692405228</v>
      </c>
    </row>
    <row r="18" spans="1:10" x14ac:dyDescent="0.25">
      <c r="A18" s="37">
        <v>2029</v>
      </c>
      <c r="B18" s="159">
        <f>'VMT Ton-Mile Driver Time'!F19*'Monetized Values and Factors'!$M$12+'VMT Ton-Mile Driver Time'!G63*'Monetized Values and Factors'!$M$13</f>
        <v>24839450.617788233</v>
      </c>
      <c r="C18" s="151">
        <f>'VMT Ton-Mile Driver Time'!M19*'Monetized Values and Factors'!$M$12+'VMT Ton-Mile Driver Time'!N63*'Monetized Values and Factors'!$M$13</f>
        <v>61126766.059219122</v>
      </c>
      <c r="D18" s="160">
        <f t="shared" si="1"/>
        <v>36287315.441430889</v>
      </c>
      <c r="E18" s="161">
        <f>'VMT Ton-Mile Driver Time'!H19*'Monetized Values and Factors'!$O$17+'VMT Ton-Mile Driver Time'!H63*'Monetized Values and Factors'!$O$18</f>
        <v>9172240.651111111</v>
      </c>
      <c r="F18" s="152">
        <f>'VMT Ton-Mile Driver Time'!O19*'Monetized Values and Factors'!$O$17+'VMT Ton-Mile Driver Time'!O63*'Monetized Values and Factors'!$O$18</f>
        <v>15588400.799553877</v>
      </c>
      <c r="G18" s="43">
        <f t="shared" si="2"/>
        <v>6416160.1484427657</v>
      </c>
      <c r="H18" s="162">
        <f t="shared" si="3"/>
        <v>34011691.268899344</v>
      </c>
      <c r="I18" s="42">
        <f t="shared" si="4"/>
        <v>76715166.858772993</v>
      </c>
      <c r="J18" s="43">
        <f t="shared" si="5"/>
        <v>42703475.589873657</v>
      </c>
    </row>
    <row r="19" spans="1:10" x14ac:dyDescent="0.25">
      <c r="A19" s="37">
        <v>2030</v>
      </c>
      <c r="B19" s="159">
        <f>'VMT Ton-Mile Driver Time'!F20*'Monetized Values and Factors'!$M$12+'VMT Ton-Mile Driver Time'!G64*'Monetized Values and Factors'!$M$13</f>
        <v>31049313.272235293</v>
      </c>
      <c r="C19" s="151">
        <f>'VMT Ton-Mile Driver Time'!M20*'Monetized Values and Factors'!$M$12+'VMT Ton-Mile Driver Time'!N64*'Monetized Values and Factors'!$M$13</f>
        <v>76408457.574023902</v>
      </c>
      <c r="D19" s="160">
        <f t="shared" si="1"/>
        <v>45359144.301788613</v>
      </c>
      <c r="E19" s="161">
        <f>'VMT Ton-Mile Driver Time'!H20*'Monetized Values and Factors'!$O$17+'VMT Ton-Mile Driver Time'!H64*'Monetized Values and Factors'!$O$18</f>
        <v>11465300.813888891</v>
      </c>
      <c r="F19" s="152">
        <f>'VMT Ton-Mile Driver Time'!O20*'Monetized Values and Factors'!$O$17+'VMT Ton-Mile Driver Time'!O64*'Monetized Values and Factors'!$O$18</f>
        <v>19485500.999442339</v>
      </c>
      <c r="G19" s="43">
        <f t="shared" si="2"/>
        <v>8020200.1855534483</v>
      </c>
      <c r="H19" s="162">
        <f t="shared" si="3"/>
        <v>42514614.086124182</v>
      </c>
      <c r="I19" s="42">
        <f t="shared" si="4"/>
        <v>95893958.573466241</v>
      </c>
      <c r="J19" s="43">
        <f t="shared" si="5"/>
        <v>53379344.48734206</v>
      </c>
    </row>
    <row r="20" spans="1:10" x14ac:dyDescent="0.25">
      <c r="A20" s="37">
        <v>2031</v>
      </c>
      <c r="B20" s="159">
        <f>'VMT Ton-Mile Driver Time'!F21*'Monetized Values and Factors'!$M$12+'VMT Ton-Mile Driver Time'!G65*'Monetized Values and Factors'!$M$13</f>
        <v>37259175.926682353</v>
      </c>
      <c r="C20" s="151">
        <f>'VMT Ton-Mile Driver Time'!M21*'Monetized Values and Factors'!$M$12+'VMT Ton-Mile Driver Time'!N65*'Monetized Values and Factors'!$M$13</f>
        <v>91690149.088828668</v>
      </c>
      <c r="D20" s="160">
        <f t="shared" si="1"/>
        <v>54430973.162146315</v>
      </c>
      <c r="E20" s="161">
        <f>'VMT Ton-Mile Driver Time'!H21*'Monetized Values and Factors'!$O$17+'VMT Ton-Mile Driver Time'!H65*'Monetized Values and Factors'!$O$18</f>
        <v>13758360.976666668</v>
      </c>
      <c r="F20" s="152">
        <f>'VMT Ton-Mile Driver Time'!O21*'Monetized Values and Factors'!$O$17+'VMT Ton-Mile Driver Time'!O65*'Monetized Values and Factors'!$O$18</f>
        <v>23382601.19933081</v>
      </c>
      <c r="G20" s="43">
        <f t="shared" si="2"/>
        <v>9624240.222664142</v>
      </c>
      <c r="H20" s="162">
        <f t="shared" si="3"/>
        <v>51017536.90334902</v>
      </c>
      <c r="I20" s="42">
        <f t="shared" si="4"/>
        <v>115072750.28815947</v>
      </c>
      <c r="J20" s="43">
        <f t="shared" si="5"/>
        <v>64055213.384810455</v>
      </c>
    </row>
    <row r="21" spans="1:10" x14ac:dyDescent="0.25">
      <c r="A21" s="37">
        <v>2032</v>
      </c>
      <c r="B21" s="159">
        <f>'VMT Ton-Mile Driver Time'!F22*'Monetized Values and Factors'!$M$12+'VMT Ton-Mile Driver Time'!G66*'Monetized Values and Factors'!$M$13</f>
        <v>45331997.37746352</v>
      </c>
      <c r="C21" s="151">
        <f>'VMT Ton-Mile Driver Time'!M22*'Monetized Values and Factors'!$M$12+'VMT Ton-Mile Driver Time'!N66*'Monetized Values and Factors'!$M$13</f>
        <v>111556348.05807489</v>
      </c>
      <c r="D21" s="160">
        <f t="shared" si="1"/>
        <v>66224350.680611372</v>
      </c>
      <c r="E21" s="161">
        <f>'VMT Ton-Mile Driver Time'!H22*'Monetized Values and Factors'!$O$17+'VMT Ton-Mile Driver Time'!H66*'Monetized Values and Factors'!$O$18</f>
        <v>16739339.188277777</v>
      </c>
      <c r="F21" s="152">
        <f>'VMT Ton-Mile Driver Time'!O22*'Monetized Values and Factors'!$O$17+'VMT Ton-Mile Driver Time'!O66*'Monetized Values and Factors'!$O$18</f>
        <v>28448831.45918582</v>
      </c>
      <c r="G21" s="43">
        <f t="shared" si="2"/>
        <v>11709492.270908043</v>
      </c>
      <c r="H21" s="162">
        <f t="shared" si="3"/>
        <v>62071336.565741301</v>
      </c>
      <c r="I21" s="42">
        <f t="shared" si="4"/>
        <v>140005179.5172607</v>
      </c>
      <c r="J21" s="43">
        <f t="shared" si="5"/>
        <v>77933842.951519415</v>
      </c>
    </row>
    <row r="22" spans="1:10" x14ac:dyDescent="0.25">
      <c r="A22" s="37">
        <v>2033</v>
      </c>
      <c r="B22" s="159">
        <f>'VMT Ton-Mile Driver Time'!F23*'Monetized Values and Factors'!$M$12+'VMT Ton-Mile Driver Time'!G67*'Monetized Values and Factors'!$M$13</f>
        <v>45331997.37746352</v>
      </c>
      <c r="C22" s="151">
        <f>'VMT Ton-Mile Driver Time'!M23*'Monetized Values and Factors'!$M$12+'VMT Ton-Mile Driver Time'!N67*'Monetized Values and Factors'!$M$13</f>
        <v>111556348.05807489</v>
      </c>
      <c r="D22" s="160">
        <f t="shared" si="1"/>
        <v>66224350.680611372</v>
      </c>
      <c r="E22" s="161">
        <f>'VMT Ton-Mile Driver Time'!H23*'Monetized Values and Factors'!$O$17+'VMT Ton-Mile Driver Time'!H67*'Monetized Values and Factors'!$O$18</f>
        <v>16739339.188277777</v>
      </c>
      <c r="F22" s="152">
        <f>'VMT Ton-Mile Driver Time'!O23*'Monetized Values and Factors'!$O$17+'VMT Ton-Mile Driver Time'!O67*'Monetized Values and Factors'!$O$18</f>
        <v>28448831.45918582</v>
      </c>
      <c r="G22" s="43">
        <f t="shared" si="2"/>
        <v>11709492.270908043</v>
      </c>
      <c r="H22" s="162">
        <f t="shared" si="3"/>
        <v>62071336.565741301</v>
      </c>
      <c r="I22" s="42">
        <f t="shared" si="4"/>
        <v>140005179.5172607</v>
      </c>
      <c r="J22" s="43">
        <f t="shared" si="5"/>
        <v>77933842.951519415</v>
      </c>
    </row>
    <row r="23" spans="1:10" x14ac:dyDescent="0.25">
      <c r="A23" s="37">
        <v>2034</v>
      </c>
      <c r="B23" s="159">
        <f>'VMT Ton-Mile Driver Time'!F24*'Monetized Values and Factors'!$M$12+'VMT Ton-Mile Driver Time'!G68*'Monetized Values and Factors'!$M$13</f>
        <v>45331997.37746352</v>
      </c>
      <c r="C23" s="151">
        <f>'VMT Ton-Mile Driver Time'!M24*'Monetized Values and Factors'!$M$12+'VMT Ton-Mile Driver Time'!N68*'Monetized Values and Factors'!$M$13</f>
        <v>111556348.05807489</v>
      </c>
      <c r="D23" s="160">
        <f t="shared" si="1"/>
        <v>66224350.680611372</v>
      </c>
      <c r="E23" s="161">
        <f>'VMT Ton-Mile Driver Time'!H24*'Monetized Values and Factors'!$O$17+'VMT Ton-Mile Driver Time'!H68*'Monetized Values and Factors'!$O$18</f>
        <v>16739339.188277777</v>
      </c>
      <c r="F23" s="152">
        <f>'VMT Ton-Mile Driver Time'!O24*'Monetized Values and Factors'!$O$17+'VMT Ton-Mile Driver Time'!O68*'Monetized Values and Factors'!$O$18</f>
        <v>28448831.45918582</v>
      </c>
      <c r="G23" s="43">
        <f t="shared" si="2"/>
        <v>11709492.270908043</v>
      </c>
      <c r="H23" s="162">
        <f t="shared" si="3"/>
        <v>62071336.565741301</v>
      </c>
      <c r="I23" s="42">
        <f t="shared" si="4"/>
        <v>140005179.5172607</v>
      </c>
      <c r="J23" s="43">
        <f t="shared" si="5"/>
        <v>77933842.951519415</v>
      </c>
    </row>
    <row r="24" spans="1:10" x14ac:dyDescent="0.25">
      <c r="A24" s="37">
        <v>2035</v>
      </c>
      <c r="B24" s="159">
        <f>'VMT Ton-Mile Driver Time'!F25*'Monetized Values and Factors'!$M$12+'VMT Ton-Mile Driver Time'!G69*'Monetized Values and Factors'!$M$13</f>
        <v>45331997.37746352</v>
      </c>
      <c r="C24" s="151">
        <f>'VMT Ton-Mile Driver Time'!M25*'Monetized Values and Factors'!$M$12+'VMT Ton-Mile Driver Time'!N69*'Monetized Values and Factors'!$M$13</f>
        <v>111556348.05807489</v>
      </c>
      <c r="D24" s="160">
        <f t="shared" si="1"/>
        <v>66224350.680611372</v>
      </c>
      <c r="E24" s="161">
        <f>'VMT Ton-Mile Driver Time'!H25*'Monetized Values and Factors'!$O$17+'VMT Ton-Mile Driver Time'!H69*'Monetized Values and Factors'!$O$18</f>
        <v>16739339.188277777</v>
      </c>
      <c r="F24" s="152">
        <f>'VMT Ton-Mile Driver Time'!O25*'Monetized Values and Factors'!$O$17+'VMT Ton-Mile Driver Time'!O69*'Monetized Values and Factors'!$O$18</f>
        <v>28448831.45918582</v>
      </c>
      <c r="G24" s="43">
        <f t="shared" si="2"/>
        <v>11709492.270908043</v>
      </c>
      <c r="H24" s="162">
        <f t="shared" si="3"/>
        <v>62071336.565741301</v>
      </c>
      <c r="I24" s="42">
        <f t="shared" si="4"/>
        <v>140005179.5172607</v>
      </c>
      <c r="J24" s="43">
        <f t="shared" si="5"/>
        <v>77933842.951519415</v>
      </c>
    </row>
    <row r="25" spans="1:10" x14ac:dyDescent="0.25">
      <c r="A25" s="37">
        <v>2036</v>
      </c>
      <c r="B25" s="159">
        <f>'VMT Ton-Mile Driver Time'!F26*'Monetized Values and Factors'!$M$12+'VMT Ton-Mile Driver Time'!G70*'Monetized Values and Factors'!$M$13</f>
        <v>45331997.37746352</v>
      </c>
      <c r="C25" s="151">
        <f>'VMT Ton-Mile Driver Time'!M26*'Monetized Values and Factors'!$M$12+'VMT Ton-Mile Driver Time'!N70*'Monetized Values and Factors'!$M$13</f>
        <v>111556348.05807489</v>
      </c>
      <c r="D25" s="160">
        <f t="shared" si="1"/>
        <v>66224350.680611372</v>
      </c>
      <c r="E25" s="161">
        <f>'VMT Ton-Mile Driver Time'!H26*'Monetized Values and Factors'!$O$17+'VMT Ton-Mile Driver Time'!H70*'Monetized Values and Factors'!$O$18</f>
        <v>16739339.188277777</v>
      </c>
      <c r="F25" s="152">
        <f>'VMT Ton-Mile Driver Time'!O26*'Monetized Values and Factors'!$O$17+'VMT Ton-Mile Driver Time'!O70*'Monetized Values and Factors'!$O$18</f>
        <v>28448831.45918582</v>
      </c>
      <c r="G25" s="43">
        <f t="shared" si="2"/>
        <v>11709492.270908043</v>
      </c>
      <c r="H25" s="162">
        <f t="shared" si="3"/>
        <v>62071336.565741301</v>
      </c>
      <c r="I25" s="42">
        <f t="shared" si="4"/>
        <v>140005179.5172607</v>
      </c>
      <c r="J25" s="43">
        <f t="shared" si="5"/>
        <v>77933842.951519415</v>
      </c>
    </row>
    <row r="26" spans="1:10" x14ac:dyDescent="0.25">
      <c r="A26" s="37">
        <v>2037</v>
      </c>
      <c r="B26" s="159">
        <f>'VMT Ton-Mile Driver Time'!F27*'Monetized Values and Factors'!$M$12+'VMT Ton-Mile Driver Time'!G71*'Monetized Values and Factors'!$M$13</f>
        <v>45331997.37746352</v>
      </c>
      <c r="C26" s="151">
        <f>'VMT Ton-Mile Driver Time'!M27*'Monetized Values and Factors'!$M$12+'VMT Ton-Mile Driver Time'!N71*'Monetized Values and Factors'!$M$13</f>
        <v>111556348.05807489</v>
      </c>
      <c r="D26" s="160">
        <f t="shared" si="1"/>
        <v>66224350.680611372</v>
      </c>
      <c r="E26" s="161">
        <f>'VMT Ton-Mile Driver Time'!H27*'Monetized Values and Factors'!$O$17+'VMT Ton-Mile Driver Time'!H71*'Monetized Values and Factors'!$O$18</f>
        <v>16739339.188277777</v>
      </c>
      <c r="F26" s="152">
        <f>'VMT Ton-Mile Driver Time'!O27*'Monetized Values and Factors'!$O$17+'VMT Ton-Mile Driver Time'!O71*'Monetized Values and Factors'!$O$18</f>
        <v>28448831.45918582</v>
      </c>
      <c r="G26" s="43">
        <f t="shared" si="2"/>
        <v>11709492.270908043</v>
      </c>
      <c r="H26" s="162">
        <f t="shared" si="3"/>
        <v>62071336.565741301</v>
      </c>
      <c r="I26" s="42">
        <f t="shared" si="4"/>
        <v>140005179.5172607</v>
      </c>
      <c r="J26" s="43">
        <f t="shared" si="5"/>
        <v>77933842.951519415</v>
      </c>
    </row>
    <row r="27" spans="1:10" x14ac:dyDescent="0.25">
      <c r="A27" s="37">
        <v>2038</v>
      </c>
      <c r="B27" s="159">
        <f>'VMT Ton-Mile Driver Time'!F28*'Monetized Values and Factors'!$M$12+'VMT Ton-Mile Driver Time'!G72*'Monetized Values and Factors'!$M$13</f>
        <v>45331997.37746352</v>
      </c>
      <c r="C27" s="151">
        <f>'VMT Ton-Mile Driver Time'!M28*'Monetized Values and Factors'!$M$12+'VMT Ton-Mile Driver Time'!N72*'Monetized Values and Factors'!$M$13</f>
        <v>111556348.05807489</v>
      </c>
      <c r="D27" s="160">
        <f t="shared" si="1"/>
        <v>66224350.680611372</v>
      </c>
      <c r="E27" s="161">
        <f>'VMT Ton-Mile Driver Time'!H28*'Monetized Values and Factors'!$O$17+'VMT Ton-Mile Driver Time'!H72*'Monetized Values and Factors'!$O$18</f>
        <v>16739339.188277777</v>
      </c>
      <c r="F27" s="152">
        <f>'VMT Ton-Mile Driver Time'!O28*'Monetized Values and Factors'!$O$17+'VMT Ton-Mile Driver Time'!O72*'Monetized Values and Factors'!$O$18</f>
        <v>28448831.45918582</v>
      </c>
      <c r="G27" s="43">
        <f t="shared" si="2"/>
        <v>11709492.270908043</v>
      </c>
      <c r="H27" s="162">
        <f t="shared" si="3"/>
        <v>62071336.565741301</v>
      </c>
      <c r="I27" s="42">
        <f t="shared" si="4"/>
        <v>140005179.5172607</v>
      </c>
      <c r="J27" s="43">
        <f t="shared" si="5"/>
        <v>77933842.951519415</v>
      </c>
    </row>
    <row r="28" spans="1:10" x14ac:dyDescent="0.25">
      <c r="A28" s="37">
        <v>2039</v>
      </c>
      <c r="B28" s="159">
        <f>'VMT Ton-Mile Driver Time'!F29*'Monetized Values and Factors'!$M$12+'VMT Ton-Mile Driver Time'!G73*'Monetized Values and Factors'!$M$13</f>
        <v>45331997.37746352</v>
      </c>
      <c r="C28" s="151">
        <f>'VMT Ton-Mile Driver Time'!M29*'Monetized Values and Factors'!$M$12+'VMT Ton-Mile Driver Time'!N73*'Monetized Values and Factors'!$M$13</f>
        <v>111556348.05807489</v>
      </c>
      <c r="D28" s="160">
        <f t="shared" si="1"/>
        <v>66224350.680611372</v>
      </c>
      <c r="E28" s="161">
        <f>'VMT Ton-Mile Driver Time'!H29*'Monetized Values and Factors'!$O$17+'VMT Ton-Mile Driver Time'!H73*'Monetized Values and Factors'!$O$18</f>
        <v>16739339.188277777</v>
      </c>
      <c r="F28" s="152">
        <f>'VMT Ton-Mile Driver Time'!O29*'Monetized Values and Factors'!$O$17+'VMT Ton-Mile Driver Time'!O73*'Monetized Values and Factors'!$O$18</f>
        <v>28448831.45918582</v>
      </c>
      <c r="G28" s="43">
        <f t="shared" si="2"/>
        <v>11709492.270908043</v>
      </c>
      <c r="H28" s="162">
        <f t="shared" si="3"/>
        <v>62071336.565741301</v>
      </c>
      <c r="I28" s="42">
        <f t="shared" si="4"/>
        <v>140005179.5172607</v>
      </c>
      <c r="J28" s="43">
        <f t="shared" si="5"/>
        <v>77933842.951519415</v>
      </c>
    </row>
    <row r="29" spans="1:10" x14ac:dyDescent="0.25">
      <c r="A29" s="37">
        <v>2040</v>
      </c>
      <c r="B29" s="159">
        <f>'VMT Ton-Mile Driver Time'!F30*'Monetized Values and Factors'!$M$12+'VMT Ton-Mile Driver Time'!G74*'Monetized Values and Factors'!$M$13</f>
        <v>45331997.37746352</v>
      </c>
      <c r="C29" s="151">
        <f>'VMT Ton-Mile Driver Time'!M30*'Monetized Values and Factors'!$M$12+'VMT Ton-Mile Driver Time'!N74*'Monetized Values and Factors'!$M$13</f>
        <v>111556348.05807489</v>
      </c>
      <c r="D29" s="160">
        <f t="shared" si="1"/>
        <v>66224350.680611372</v>
      </c>
      <c r="E29" s="161">
        <f>'VMT Ton-Mile Driver Time'!H30*'Monetized Values and Factors'!$O$17+'VMT Ton-Mile Driver Time'!H74*'Monetized Values and Factors'!$O$18</f>
        <v>16739339.188277777</v>
      </c>
      <c r="F29" s="152">
        <f>'VMT Ton-Mile Driver Time'!O30*'Monetized Values and Factors'!$O$17+'VMT Ton-Mile Driver Time'!O74*'Monetized Values and Factors'!$O$18</f>
        <v>28448831.45918582</v>
      </c>
      <c r="G29" s="43">
        <f t="shared" si="2"/>
        <v>11709492.270908043</v>
      </c>
      <c r="H29" s="162">
        <f t="shared" si="3"/>
        <v>62071336.565741301</v>
      </c>
      <c r="I29" s="42">
        <f t="shared" si="4"/>
        <v>140005179.5172607</v>
      </c>
      <c r="J29" s="43">
        <f t="shared" si="5"/>
        <v>77933842.951519415</v>
      </c>
    </row>
    <row r="30" spans="1:10" x14ac:dyDescent="0.25">
      <c r="A30" s="37">
        <v>2041</v>
      </c>
      <c r="B30" s="159">
        <f>'VMT Ton-Mile Driver Time'!F31*'Monetized Values and Factors'!$M$12+'VMT Ton-Mile Driver Time'!G75*'Monetized Values and Factors'!$M$13</f>
        <v>45331997.37746352</v>
      </c>
      <c r="C30" s="151">
        <f>'VMT Ton-Mile Driver Time'!M31*'Monetized Values and Factors'!$M$12+'VMT Ton-Mile Driver Time'!N75*'Monetized Values and Factors'!$M$13</f>
        <v>111556348.05807489</v>
      </c>
      <c r="D30" s="160">
        <f t="shared" si="1"/>
        <v>66224350.680611372</v>
      </c>
      <c r="E30" s="161">
        <f>'VMT Ton-Mile Driver Time'!H31*'Monetized Values and Factors'!$O$17+'VMT Ton-Mile Driver Time'!H75*'Monetized Values and Factors'!$O$18</f>
        <v>16739339.188277777</v>
      </c>
      <c r="F30" s="152">
        <f>'VMT Ton-Mile Driver Time'!O31*'Monetized Values and Factors'!$O$17+'VMT Ton-Mile Driver Time'!O75*'Monetized Values and Factors'!$O$18</f>
        <v>28448831.45918582</v>
      </c>
      <c r="G30" s="43">
        <f t="shared" si="2"/>
        <v>11709492.270908043</v>
      </c>
      <c r="H30" s="162">
        <f t="shared" si="3"/>
        <v>62071336.565741301</v>
      </c>
      <c r="I30" s="42">
        <f t="shared" si="4"/>
        <v>140005179.5172607</v>
      </c>
      <c r="J30" s="43">
        <f t="shared" si="5"/>
        <v>77933842.951519415</v>
      </c>
    </row>
    <row r="31" spans="1:10" x14ac:dyDescent="0.25">
      <c r="A31" s="37">
        <v>2042</v>
      </c>
      <c r="B31" s="159">
        <f>'VMT Ton-Mile Driver Time'!F32*'Monetized Values and Factors'!$M$12+'VMT Ton-Mile Driver Time'!G76*'Monetized Values and Factors'!$M$13</f>
        <v>45331997.37746352</v>
      </c>
      <c r="C31" s="151">
        <f>'VMT Ton-Mile Driver Time'!M32*'Monetized Values and Factors'!$M$12+'VMT Ton-Mile Driver Time'!N76*'Monetized Values and Factors'!$M$13</f>
        <v>111556348.05807489</v>
      </c>
      <c r="D31" s="160">
        <f t="shared" si="1"/>
        <v>66224350.680611372</v>
      </c>
      <c r="E31" s="161">
        <f>'VMT Ton-Mile Driver Time'!H32*'Monetized Values and Factors'!$O$17+'VMT Ton-Mile Driver Time'!H76*'Monetized Values and Factors'!$O$18</f>
        <v>16739339.188277777</v>
      </c>
      <c r="F31" s="152">
        <f>'VMT Ton-Mile Driver Time'!O32*'Monetized Values and Factors'!$O$17+'VMT Ton-Mile Driver Time'!O76*'Monetized Values and Factors'!$O$18</f>
        <v>28448831.45918582</v>
      </c>
      <c r="G31" s="43">
        <f t="shared" si="2"/>
        <v>11709492.270908043</v>
      </c>
      <c r="H31" s="162">
        <f t="shared" si="3"/>
        <v>62071336.565741301</v>
      </c>
      <c r="I31" s="42">
        <f t="shared" si="4"/>
        <v>140005179.5172607</v>
      </c>
      <c r="J31" s="43">
        <f t="shared" si="5"/>
        <v>77933842.951519415</v>
      </c>
    </row>
    <row r="32" spans="1:10" x14ac:dyDescent="0.25">
      <c r="A32" s="37">
        <v>2043</v>
      </c>
      <c r="B32" s="159">
        <f>'VMT Ton-Mile Driver Time'!F33*'Monetized Values and Factors'!$M$12+'VMT Ton-Mile Driver Time'!G77*'Monetized Values and Factors'!$M$13</f>
        <v>45331997.37746352</v>
      </c>
      <c r="C32" s="151">
        <f>'VMT Ton-Mile Driver Time'!M33*'Monetized Values and Factors'!$M$12+'VMT Ton-Mile Driver Time'!N77*'Monetized Values and Factors'!$M$13</f>
        <v>111556348.05807489</v>
      </c>
      <c r="D32" s="160">
        <f t="shared" si="1"/>
        <v>66224350.680611372</v>
      </c>
      <c r="E32" s="161">
        <f>'VMT Ton-Mile Driver Time'!H33*'Monetized Values and Factors'!$O$17+'VMT Ton-Mile Driver Time'!H77*'Monetized Values and Factors'!$O$18</f>
        <v>16739339.188277777</v>
      </c>
      <c r="F32" s="152">
        <f>'VMT Ton-Mile Driver Time'!O33*'Monetized Values and Factors'!$O$17+'VMT Ton-Mile Driver Time'!O77*'Monetized Values and Factors'!$O$18</f>
        <v>28448831.45918582</v>
      </c>
      <c r="G32" s="43">
        <f t="shared" si="2"/>
        <v>11709492.270908043</v>
      </c>
      <c r="H32" s="162">
        <f t="shared" si="3"/>
        <v>62071336.565741301</v>
      </c>
      <c r="I32" s="42">
        <f t="shared" si="4"/>
        <v>140005179.5172607</v>
      </c>
      <c r="J32" s="43">
        <f t="shared" si="5"/>
        <v>77933842.951519415</v>
      </c>
    </row>
    <row r="33" spans="1:10" x14ac:dyDescent="0.25">
      <c r="A33" s="37">
        <v>2044</v>
      </c>
      <c r="B33" s="159">
        <f>'VMT Ton-Mile Driver Time'!F34*'Monetized Values and Factors'!$M$12+'VMT Ton-Mile Driver Time'!G78*'Monetized Values and Factors'!$M$13</f>
        <v>45331997.37746352</v>
      </c>
      <c r="C33" s="151">
        <f>'VMT Ton-Mile Driver Time'!M34*'Monetized Values and Factors'!$M$12+'VMT Ton-Mile Driver Time'!N78*'Monetized Values and Factors'!$M$13</f>
        <v>111556348.05807489</v>
      </c>
      <c r="D33" s="160">
        <f t="shared" si="1"/>
        <v>66224350.680611372</v>
      </c>
      <c r="E33" s="161">
        <f>'VMT Ton-Mile Driver Time'!H34*'Monetized Values and Factors'!$O$17+'VMT Ton-Mile Driver Time'!H78*'Monetized Values and Factors'!$O$18</f>
        <v>16739339.188277777</v>
      </c>
      <c r="F33" s="152">
        <f>'VMT Ton-Mile Driver Time'!O34*'Monetized Values and Factors'!$O$17+'VMT Ton-Mile Driver Time'!O78*'Monetized Values and Factors'!$O$18</f>
        <v>28448831.45918582</v>
      </c>
      <c r="G33" s="43">
        <f t="shared" si="2"/>
        <v>11709492.270908043</v>
      </c>
      <c r="H33" s="162">
        <f t="shared" si="3"/>
        <v>62071336.565741301</v>
      </c>
      <c r="I33" s="42">
        <f t="shared" si="4"/>
        <v>140005179.5172607</v>
      </c>
      <c r="J33" s="43">
        <f t="shared" si="5"/>
        <v>77933842.951519415</v>
      </c>
    </row>
    <row r="34" spans="1:10" x14ac:dyDescent="0.25">
      <c r="A34" s="37">
        <v>2045</v>
      </c>
      <c r="B34" s="159">
        <f>'VMT Ton-Mile Driver Time'!F35*'Monetized Values and Factors'!$M$12+'VMT Ton-Mile Driver Time'!G79*'Monetized Values and Factors'!$M$13</f>
        <v>45331997.37746352</v>
      </c>
      <c r="C34" s="151">
        <f>'VMT Ton-Mile Driver Time'!M35*'Monetized Values and Factors'!$M$12+'VMT Ton-Mile Driver Time'!N79*'Monetized Values and Factors'!$M$13</f>
        <v>111556348.05807489</v>
      </c>
      <c r="D34" s="160">
        <f t="shared" si="1"/>
        <v>66224350.680611372</v>
      </c>
      <c r="E34" s="161">
        <f>'VMT Ton-Mile Driver Time'!H35*'Monetized Values and Factors'!$O$17+'VMT Ton-Mile Driver Time'!H79*'Monetized Values and Factors'!$O$18</f>
        <v>16739339.188277777</v>
      </c>
      <c r="F34" s="152">
        <f>'VMT Ton-Mile Driver Time'!O35*'Monetized Values and Factors'!$O$17+'VMT Ton-Mile Driver Time'!O79*'Monetized Values and Factors'!$O$18</f>
        <v>28448831.45918582</v>
      </c>
      <c r="G34" s="43">
        <f t="shared" si="2"/>
        <v>11709492.270908043</v>
      </c>
      <c r="H34" s="162">
        <f t="shared" si="3"/>
        <v>62071336.565741301</v>
      </c>
      <c r="I34" s="42">
        <f t="shared" si="4"/>
        <v>140005179.5172607</v>
      </c>
      <c r="J34" s="43">
        <f t="shared" si="5"/>
        <v>77933842.951519415</v>
      </c>
    </row>
    <row r="35" spans="1:10" x14ac:dyDescent="0.25">
      <c r="A35" s="37">
        <v>2046</v>
      </c>
      <c r="B35" s="159">
        <f>'VMT Ton-Mile Driver Time'!F36*'Monetized Values and Factors'!$M$12+'VMT Ton-Mile Driver Time'!G80*'Monetized Values and Factors'!$M$13</f>
        <v>45331997.37746352</v>
      </c>
      <c r="C35" s="151">
        <f>'VMT Ton-Mile Driver Time'!M36*'Monetized Values and Factors'!$M$12+'VMT Ton-Mile Driver Time'!N80*'Monetized Values and Factors'!$M$13</f>
        <v>111556348.05807489</v>
      </c>
      <c r="D35" s="160">
        <f t="shared" si="1"/>
        <v>66224350.680611372</v>
      </c>
      <c r="E35" s="161">
        <f>'VMT Ton-Mile Driver Time'!H36*'Monetized Values and Factors'!$O$17+'VMT Ton-Mile Driver Time'!H80*'Monetized Values and Factors'!$O$18</f>
        <v>16739339.188277777</v>
      </c>
      <c r="F35" s="152">
        <f>'VMT Ton-Mile Driver Time'!O36*'Monetized Values and Factors'!$O$17+'VMT Ton-Mile Driver Time'!O80*'Monetized Values and Factors'!$O$18</f>
        <v>28448831.45918582</v>
      </c>
      <c r="G35" s="43">
        <f t="shared" si="2"/>
        <v>11709492.270908043</v>
      </c>
      <c r="H35" s="162">
        <f t="shared" si="3"/>
        <v>62071336.565741301</v>
      </c>
      <c r="I35" s="42">
        <f t="shared" si="4"/>
        <v>140005179.5172607</v>
      </c>
      <c r="J35" s="43">
        <f t="shared" si="5"/>
        <v>77933842.951519415</v>
      </c>
    </row>
    <row r="36" spans="1:10" x14ac:dyDescent="0.25">
      <c r="A36" s="37">
        <v>2047</v>
      </c>
      <c r="B36" s="159">
        <f>'VMT Ton-Mile Driver Time'!F37*'Monetized Values and Factors'!$M$12+'VMT Ton-Mile Driver Time'!G81*'Monetized Values and Factors'!$M$13</f>
        <v>45331997.37746352</v>
      </c>
      <c r="C36" s="151">
        <f>'VMT Ton-Mile Driver Time'!M37*'Monetized Values and Factors'!$M$12+'VMT Ton-Mile Driver Time'!N81*'Monetized Values and Factors'!$M$13</f>
        <v>111556348.05807489</v>
      </c>
      <c r="D36" s="160">
        <f t="shared" si="1"/>
        <v>66224350.680611372</v>
      </c>
      <c r="E36" s="161">
        <f>'VMT Ton-Mile Driver Time'!H37*'Monetized Values and Factors'!$O$17+'VMT Ton-Mile Driver Time'!H81*'Monetized Values and Factors'!$O$18</f>
        <v>16739339.188277777</v>
      </c>
      <c r="F36" s="152">
        <f>'VMT Ton-Mile Driver Time'!O37*'Monetized Values and Factors'!$O$17+'VMT Ton-Mile Driver Time'!O81*'Monetized Values and Factors'!$O$18</f>
        <v>28448831.45918582</v>
      </c>
      <c r="G36" s="43">
        <f t="shared" si="2"/>
        <v>11709492.270908043</v>
      </c>
      <c r="H36" s="162">
        <f t="shared" si="3"/>
        <v>62071336.565741301</v>
      </c>
      <c r="I36" s="42">
        <f t="shared" si="4"/>
        <v>140005179.5172607</v>
      </c>
      <c r="J36" s="43">
        <f t="shared" si="5"/>
        <v>77933842.951519415</v>
      </c>
    </row>
    <row r="37" spans="1:10" x14ac:dyDescent="0.25">
      <c r="A37" s="37">
        <v>2048</v>
      </c>
      <c r="B37" s="159">
        <f>'VMT Ton-Mile Driver Time'!F38*'Monetized Values and Factors'!$M$12+'VMT Ton-Mile Driver Time'!G82*'Monetized Values and Factors'!$M$13</f>
        <v>45331997.37746352</v>
      </c>
      <c r="C37" s="151">
        <f>'VMT Ton-Mile Driver Time'!M38*'Monetized Values and Factors'!$M$12+'VMT Ton-Mile Driver Time'!N82*'Monetized Values and Factors'!$M$13</f>
        <v>111556348.05807489</v>
      </c>
      <c r="D37" s="160">
        <f t="shared" si="1"/>
        <v>66224350.680611372</v>
      </c>
      <c r="E37" s="161">
        <f>'VMT Ton-Mile Driver Time'!H38*'Monetized Values and Factors'!$O$17+'VMT Ton-Mile Driver Time'!H82*'Monetized Values and Factors'!$O$18</f>
        <v>16739339.188277777</v>
      </c>
      <c r="F37" s="152">
        <f>'VMT Ton-Mile Driver Time'!O38*'Monetized Values and Factors'!$O$17+'VMT Ton-Mile Driver Time'!O82*'Monetized Values and Factors'!$O$18</f>
        <v>28448831.45918582</v>
      </c>
      <c r="G37" s="43">
        <f t="shared" si="2"/>
        <v>11709492.270908043</v>
      </c>
      <c r="H37" s="162">
        <f t="shared" si="3"/>
        <v>62071336.565741301</v>
      </c>
      <c r="I37" s="42">
        <f t="shared" si="4"/>
        <v>140005179.5172607</v>
      </c>
      <c r="J37" s="43">
        <f t="shared" si="5"/>
        <v>77933842.951519415</v>
      </c>
    </row>
    <row r="38" spans="1:10" x14ac:dyDescent="0.25">
      <c r="A38" s="37">
        <v>2049</v>
      </c>
      <c r="B38" s="159">
        <f>'VMT Ton-Mile Driver Time'!F39*'Monetized Values and Factors'!$M$12+'VMT Ton-Mile Driver Time'!G83*'Monetized Values and Factors'!$M$13</f>
        <v>45331997.37746352</v>
      </c>
      <c r="C38" s="151">
        <f>'VMT Ton-Mile Driver Time'!M39*'Monetized Values and Factors'!$M$12+'VMT Ton-Mile Driver Time'!N83*'Monetized Values and Factors'!$M$13</f>
        <v>111556348.05807489</v>
      </c>
      <c r="D38" s="160">
        <f t="shared" si="1"/>
        <v>66224350.680611372</v>
      </c>
      <c r="E38" s="161">
        <f>'VMT Ton-Mile Driver Time'!H39*'Monetized Values and Factors'!$O$17+'VMT Ton-Mile Driver Time'!H83*'Monetized Values and Factors'!$O$18</f>
        <v>16739339.188277777</v>
      </c>
      <c r="F38" s="152">
        <f>'VMT Ton-Mile Driver Time'!O39*'Monetized Values and Factors'!$O$17+'VMT Ton-Mile Driver Time'!O83*'Monetized Values and Factors'!$O$18</f>
        <v>28448831.45918582</v>
      </c>
      <c r="G38" s="43">
        <f t="shared" si="2"/>
        <v>11709492.270908043</v>
      </c>
      <c r="H38" s="162">
        <f t="shared" si="3"/>
        <v>62071336.565741301</v>
      </c>
      <c r="I38" s="42">
        <f t="shared" si="4"/>
        <v>140005179.5172607</v>
      </c>
      <c r="J38" s="43">
        <f t="shared" si="5"/>
        <v>77933842.951519415</v>
      </c>
    </row>
    <row r="39" spans="1:10" x14ac:dyDescent="0.25">
      <c r="A39" s="37">
        <v>2050</v>
      </c>
      <c r="B39" s="159">
        <f>'VMT Ton-Mile Driver Time'!F40*'Monetized Values and Factors'!$M$12+'VMT Ton-Mile Driver Time'!G84*'Monetized Values and Factors'!$M$13</f>
        <v>45331997.37746352</v>
      </c>
      <c r="C39" s="151">
        <f>'VMT Ton-Mile Driver Time'!M40*'Monetized Values and Factors'!$M$12+'VMT Ton-Mile Driver Time'!N84*'Monetized Values and Factors'!$M$13</f>
        <v>111556348.05807489</v>
      </c>
      <c r="D39" s="160">
        <f t="shared" si="1"/>
        <v>66224350.680611372</v>
      </c>
      <c r="E39" s="161">
        <f>'VMT Ton-Mile Driver Time'!H40*'Monetized Values and Factors'!$O$17+'VMT Ton-Mile Driver Time'!H84*'Monetized Values and Factors'!$O$18</f>
        <v>16739339.188277777</v>
      </c>
      <c r="F39" s="152">
        <f>'VMT Ton-Mile Driver Time'!O40*'Monetized Values and Factors'!$O$17+'VMT Ton-Mile Driver Time'!O84*'Monetized Values and Factors'!$O$18</f>
        <v>28448831.45918582</v>
      </c>
      <c r="G39" s="43">
        <f t="shared" si="2"/>
        <v>11709492.270908043</v>
      </c>
      <c r="H39" s="162">
        <f t="shared" si="3"/>
        <v>62071336.565741301</v>
      </c>
      <c r="I39" s="42">
        <f t="shared" si="4"/>
        <v>140005179.5172607</v>
      </c>
      <c r="J39" s="43">
        <f t="shared" si="5"/>
        <v>77933842.951519415</v>
      </c>
    </row>
    <row r="40" spans="1:10" x14ac:dyDescent="0.25">
      <c r="A40" s="37">
        <v>2051</v>
      </c>
      <c r="B40" s="159">
        <f>'VMT Ton-Mile Driver Time'!F41*'Monetized Values and Factors'!$M$12+'VMT Ton-Mile Driver Time'!G85*'Monetized Values and Factors'!$M$13</f>
        <v>45331997.37746352</v>
      </c>
      <c r="C40" s="151">
        <f>'VMT Ton-Mile Driver Time'!M41*'Monetized Values and Factors'!$M$12+'VMT Ton-Mile Driver Time'!N85*'Monetized Values and Factors'!$M$13</f>
        <v>111556348.05807489</v>
      </c>
      <c r="D40" s="160">
        <f t="shared" si="1"/>
        <v>66224350.680611372</v>
      </c>
      <c r="E40" s="161">
        <f>'VMT Ton-Mile Driver Time'!H41*'Monetized Values and Factors'!$O$17+'VMT Ton-Mile Driver Time'!H85*'Monetized Values and Factors'!$O$18</f>
        <v>16739339.188277777</v>
      </c>
      <c r="F40" s="152">
        <f>'VMT Ton-Mile Driver Time'!O41*'Monetized Values and Factors'!$O$17+'VMT Ton-Mile Driver Time'!O85*'Monetized Values and Factors'!$O$18</f>
        <v>28448831.45918582</v>
      </c>
      <c r="G40" s="43">
        <f t="shared" si="2"/>
        <v>11709492.270908043</v>
      </c>
      <c r="H40" s="162">
        <f t="shared" si="3"/>
        <v>62071336.565741301</v>
      </c>
      <c r="I40" s="42">
        <f t="shared" si="4"/>
        <v>140005179.5172607</v>
      </c>
      <c r="J40" s="43">
        <f t="shared" si="5"/>
        <v>77933842.951519415</v>
      </c>
    </row>
    <row r="41" spans="1:10" x14ac:dyDescent="0.25">
      <c r="A41" s="186">
        <v>2052</v>
      </c>
      <c r="B41" s="324">
        <f>'VMT Ton-Mile Driver Time'!F42*'Monetized Values and Factors'!$M$12+'VMT Ton-Mile Driver Time'!G86*'Monetized Values and Factors'!$M$13</f>
        <v>45331997.37746352</v>
      </c>
      <c r="C41" s="325">
        <f>'VMT Ton-Mile Driver Time'!M42*'Monetized Values and Factors'!$M$12+'VMT Ton-Mile Driver Time'!N86*'Monetized Values and Factors'!$M$13</f>
        <v>111556348.05807489</v>
      </c>
      <c r="D41" s="314">
        <f t="shared" ref="D41" si="6">C41-B41</f>
        <v>66224350.680611372</v>
      </c>
      <c r="E41" s="326">
        <f>'VMT Ton-Mile Driver Time'!H42*'Monetized Values and Factors'!$O$17+'VMT Ton-Mile Driver Time'!H86*'Monetized Values and Factors'!$O$18</f>
        <v>16739339.188277777</v>
      </c>
      <c r="F41" s="327">
        <f>'VMT Ton-Mile Driver Time'!O42*'Monetized Values and Factors'!$O$17+'VMT Ton-Mile Driver Time'!O86*'Monetized Values and Factors'!$O$18</f>
        <v>28448831.45918582</v>
      </c>
      <c r="G41" s="191">
        <f t="shared" ref="G41" si="7">F41-E41</f>
        <v>11709492.270908043</v>
      </c>
      <c r="H41" s="323">
        <f t="shared" ref="H41" si="8">B41+E41</f>
        <v>62071336.565741301</v>
      </c>
      <c r="I41" s="190">
        <f t="shared" ref="I41" si="9">C41+F41</f>
        <v>140005179.5172607</v>
      </c>
      <c r="J41" s="191">
        <f t="shared" ref="J41" si="10">D41+G41</f>
        <v>77933842.951519415</v>
      </c>
    </row>
    <row r="42" spans="1:10" ht="15.75" thickBot="1" x14ac:dyDescent="0.3">
      <c r="A42" s="153" t="s">
        <v>1</v>
      </c>
      <c r="B42" s="163">
        <f t="shared" ref="B42:G42" si="11">SUM(B4:B41)</f>
        <v>1110323442.6151345</v>
      </c>
      <c r="C42" s="154">
        <f t="shared" si="11"/>
        <v>2732366442.8470955</v>
      </c>
      <c r="D42" s="155">
        <f t="shared" si="11"/>
        <v>1622043000.2319608</v>
      </c>
      <c r="E42" s="163">
        <f t="shared" si="11"/>
        <v>409999157.10466671</v>
      </c>
      <c r="F42" s="154">
        <f t="shared" si="11"/>
        <v>696801515.74005842</v>
      </c>
      <c r="G42" s="155">
        <f t="shared" si="11"/>
        <v>286802358.63539171</v>
      </c>
      <c r="H42" s="163">
        <f t="shared" si="3"/>
        <v>1520322599.7198012</v>
      </c>
      <c r="I42" s="154">
        <f t="shared" si="4"/>
        <v>3429167958.5871539</v>
      </c>
      <c r="J42" s="155">
        <f t="shared" si="5"/>
        <v>1908845358.8673525</v>
      </c>
    </row>
    <row r="45" spans="1:10" x14ac:dyDescent="0.25">
      <c r="B45" s="284">
        <f t="shared" ref="B45:C45" si="12">B42/30</f>
        <v>37010781.420504481</v>
      </c>
      <c r="C45" s="284">
        <f t="shared" si="12"/>
        <v>91078881.428236514</v>
      </c>
      <c r="D45" s="284">
        <f>D42/30</f>
        <v>54068100.007732026</v>
      </c>
      <c r="E45" s="284">
        <f t="shared" ref="E45:J45" si="13">E42/30</f>
        <v>13666638.570155557</v>
      </c>
      <c r="F45" s="284">
        <f t="shared" si="13"/>
        <v>23226717.191335279</v>
      </c>
      <c r="G45" s="284">
        <f t="shared" si="13"/>
        <v>9560078.6211797241</v>
      </c>
      <c r="H45" s="284">
        <f t="shared" si="13"/>
        <v>50677419.990660042</v>
      </c>
      <c r="I45" s="284">
        <f t="shared" si="13"/>
        <v>114305598.61957179</v>
      </c>
      <c r="J45" s="284">
        <f t="shared" si="13"/>
        <v>63628178.628911749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29"/>
  <sheetViews>
    <sheetView topLeftCell="A97" zoomScale="80" zoomScaleNormal="80" workbookViewId="0">
      <selection activeCell="H129" sqref="H129:L129"/>
    </sheetView>
  </sheetViews>
  <sheetFormatPr defaultRowHeight="15" x14ac:dyDescent="0.25"/>
  <cols>
    <col min="1" max="1" width="14.42578125" customWidth="1"/>
    <col min="2" max="2" width="19.85546875" customWidth="1"/>
    <col min="3" max="3" width="16" customWidth="1"/>
    <col min="4" max="4" width="21.42578125" customWidth="1"/>
    <col min="5" max="5" width="20.5703125" customWidth="1"/>
    <col min="6" max="6" width="17.85546875" customWidth="1"/>
    <col min="7" max="7" width="21.85546875" customWidth="1"/>
    <col min="8" max="8" width="15.28515625" customWidth="1"/>
    <col min="9" max="9" width="17.140625" customWidth="1"/>
    <col min="10" max="10" width="16.5703125" customWidth="1"/>
    <col min="11" max="11" width="14.28515625" customWidth="1"/>
    <col min="12" max="12" width="14.85546875" customWidth="1"/>
  </cols>
  <sheetData>
    <row r="1" spans="1:12" ht="19.5" thickBot="1" x14ac:dyDescent="0.35">
      <c r="A1" s="479" t="s">
        <v>356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1"/>
    </row>
    <row r="2" spans="1:12" ht="19.5" thickBot="1" x14ac:dyDescent="0.35">
      <c r="A2" s="482" t="s">
        <v>109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4"/>
    </row>
    <row r="3" spans="1:12" ht="45" x14ac:dyDescent="0.25">
      <c r="A3" s="19" t="s">
        <v>2</v>
      </c>
      <c r="B3" s="157" t="s">
        <v>252</v>
      </c>
      <c r="C3" s="157" t="s">
        <v>268</v>
      </c>
      <c r="D3" s="157" t="s">
        <v>253</v>
      </c>
      <c r="E3" s="157" t="s">
        <v>370</v>
      </c>
      <c r="F3" s="157" t="s">
        <v>254</v>
      </c>
      <c r="G3" s="157" t="s">
        <v>255</v>
      </c>
      <c r="H3" s="157" t="s">
        <v>347</v>
      </c>
      <c r="I3" s="157" t="s">
        <v>348</v>
      </c>
      <c r="J3" s="157" t="s">
        <v>371</v>
      </c>
      <c r="K3" s="157" t="s">
        <v>349</v>
      </c>
      <c r="L3" s="158" t="s">
        <v>350</v>
      </c>
    </row>
    <row r="4" spans="1:12" x14ac:dyDescent="0.25">
      <c r="A4" s="37">
        <v>2014</v>
      </c>
      <c r="B4" s="4"/>
      <c r="C4" s="188"/>
      <c r="D4" s="188"/>
      <c r="E4" s="188"/>
      <c r="F4" s="41"/>
      <c r="G4" s="188"/>
      <c r="H4" s="42"/>
      <c r="I4" s="42"/>
      <c r="J4" s="42"/>
      <c r="K4" s="42"/>
      <c r="L4" s="43"/>
    </row>
    <row r="5" spans="1:12" x14ac:dyDescent="0.25">
      <c r="A5" s="37">
        <v>2015</v>
      </c>
      <c r="B5" s="4"/>
      <c r="C5" s="188"/>
      <c r="D5" s="188"/>
      <c r="E5" s="188"/>
      <c r="F5" s="41"/>
      <c r="G5" s="188"/>
      <c r="H5" s="42"/>
      <c r="I5" s="42"/>
      <c r="J5" s="42"/>
      <c r="K5" s="42"/>
      <c r="L5" s="43"/>
    </row>
    <row r="6" spans="1:12" x14ac:dyDescent="0.25">
      <c r="A6" s="37">
        <v>2016</v>
      </c>
      <c r="B6" s="4">
        <f>('VMT Ton-Mile Driver Time'!G6/'Monetized Values and Factors'!M$24)+('VMT Ton-Mile Driver Time'!G50/'Monetized Values and Factors'!$M$25)</f>
        <v>0</v>
      </c>
      <c r="C6" s="188">
        <f>((('VMT Ton-Mile Driver Time'!$C6*'Emissions - Truck'!AL9)+('VMT Ton-Mile Driver Time'!$D6*'Emissions - Truck'!BV9)+('VMT Ton-Mile Driver Time'!$E6*'Emissions - Truck'!BM9))/1000000)+('VMT Ton-Mile Driver Time'!$G50*'Emissions - Rail'!$C$3/1000000)</f>
        <v>0</v>
      </c>
      <c r="D6" s="188">
        <f>((('VMT Ton-Mile Driver Time'!$C6*'Emissions - Truck'!AM9)+('VMT Ton-Mile Driver Time'!$D6*'Emissions - Truck'!BW9)+('VMT Ton-Mile Driver Time'!$E6*'Emissions - Truck'!BN9))/1000000)+('VMT Ton-Mile Driver Time'!$G50*'Emissions - Rail'!$D$3/1000000)</f>
        <v>0</v>
      </c>
      <c r="E6" s="188">
        <f>((('VMT Ton-Mile Driver Time'!$C6*'Emissions - Truck'!AQ9)+('VMT Ton-Mile Driver Time'!$D6*'Emissions - Truck'!CA9)+('VMT Ton-Mile Driver Time'!$E6*'Emissions - Truck'!BR9))/1000000)+('VMT Ton-Mile Driver Time'!$G50*'Emissions - Rail'!$E$3/1000000)</f>
        <v>0</v>
      </c>
      <c r="F6" s="41">
        <f>((('VMT Ton-Mile Driver Time'!$C6*'Emissions - Truck'!AO9)+('VMT Ton-Mile Driver Time'!$D6*'Emissions - Truck'!BY9)+('VMT Ton-Mile Driver Time'!$E6*'Emissions - Truck'!BP9))/1000000)</f>
        <v>0</v>
      </c>
      <c r="G6" s="188">
        <f>((('VMT Ton-Mile Driver Time'!$C6*'Emissions - Truck'!AP9)+('VMT Ton-Mile Driver Time'!$D6*'Emissions - Truck'!BZ9)+('VMT Ton-Mile Driver Time'!$E6*'Emissions - Truck'!BQ9))/1000000)</f>
        <v>0</v>
      </c>
      <c r="H6" s="42">
        <f>C6*'Monetized Values and Factors'!N46</f>
        <v>0</v>
      </c>
      <c r="I6" s="42">
        <f>D6*'Monetized Values and Factors'!$O$34</f>
        <v>0</v>
      </c>
      <c r="J6" s="42">
        <f>E6*'Monetized Values and Factors'!$O$35</f>
        <v>0</v>
      </c>
      <c r="K6" s="42">
        <f>F6*'Monetized Values and Factors'!$O$36</f>
        <v>0</v>
      </c>
      <c r="L6" s="43">
        <f>G6*'Monetized Values and Factors'!$O$33</f>
        <v>0</v>
      </c>
    </row>
    <row r="7" spans="1:12" x14ac:dyDescent="0.25">
      <c r="A7" s="37">
        <v>2017</v>
      </c>
      <c r="B7" s="4">
        <f>('VMT Ton-Mile Driver Time'!G7/'Monetized Values and Factors'!M$24)+('VMT Ton-Mile Driver Time'!G51/'Monetized Values and Factors'!$M$25)</f>
        <v>0</v>
      </c>
      <c r="C7" s="188">
        <f>((('VMT Ton-Mile Driver Time'!$C7*'Emissions - Truck'!AL10)+('VMT Ton-Mile Driver Time'!$D7*'Emissions - Truck'!BV10)+('VMT Ton-Mile Driver Time'!$E7*'Emissions - Truck'!BM10))/1000000)+('VMT Ton-Mile Driver Time'!$G51*'Emissions - Rail'!$C$3/1000000)</f>
        <v>0</v>
      </c>
      <c r="D7" s="188">
        <f>((('VMT Ton-Mile Driver Time'!$C7*'Emissions - Truck'!AM10)+('VMT Ton-Mile Driver Time'!$D7*'Emissions - Truck'!BW10)+('VMT Ton-Mile Driver Time'!$E7*'Emissions - Truck'!BN10))/1000000)+('VMT Ton-Mile Driver Time'!$G51*'Emissions - Rail'!$D$3/1000000)</f>
        <v>0</v>
      </c>
      <c r="E7" s="188">
        <f>((('VMT Ton-Mile Driver Time'!$C7*'Emissions - Truck'!AQ10)+('VMT Ton-Mile Driver Time'!$D7*'Emissions - Truck'!CA10)+('VMT Ton-Mile Driver Time'!$E7*'Emissions - Truck'!BR10))/1000000)+('VMT Ton-Mile Driver Time'!$G51*'Emissions - Rail'!$E$3/1000000)</f>
        <v>0</v>
      </c>
      <c r="F7" s="41">
        <f>((('VMT Ton-Mile Driver Time'!$C7*'Emissions - Truck'!AO10)+('VMT Ton-Mile Driver Time'!$D7*'Emissions - Truck'!BY10)+('VMT Ton-Mile Driver Time'!$E7*'Emissions - Truck'!BP10))/1000000)</f>
        <v>0</v>
      </c>
      <c r="G7" s="188">
        <f>((('VMT Ton-Mile Driver Time'!$C7*'Emissions - Truck'!AP10)+('VMT Ton-Mile Driver Time'!$D7*'Emissions - Truck'!BZ10)+('VMT Ton-Mile Driver Time'!$E7*'Emissions - Truck'!BQ10))/1000000)</f>
        <v>0</v>
      </c>
      <c r="H7" s="42">
        <f>C7*'Monetized Values and Factors'!N47</f>
        <v>0</v>
      </c>
      <c r="I7" s="42">
        <f>D7*'Monetized Values and Factors'!$O$34</f>
        <v>0</v>
      </c>
      <c r="J7" s="42">
        <f>E7*'Monetized Values and Factors'!$O$35</f>
        <v>0</v>
      </c>
      <c r="K7" s="42">
        <f>F7*'Monetized Values and Factors'!$O$36</f>
        <v>0</v>
      </c>
      <c r="L7" s="43">
        <f>G7*'Monetized Values and Factors'!$O$33</f>
        <v>0</v>
      </c>
    </row>
    <row r="8" spans="1:12" x14ac:dyDescent="0.25">
      <c r="A8" s="37">
        <v>2018</v>
      </c>
      <c r="B8" s="4">
        <f>('VMT Ton-Mile Driver Time'!G8/'Monetized Values and Factors'!M$24)+('VMT Ton-Mile Driver Time'!G52/'Monetized Values and Factors'!$M$25)</f>
        <v>0</v>
      </c>
      <c r="C8" s="188">
        <f>((('VMT Ton-Mile Driver Time'!$C8*'Emissions - Truck'!AL11)+('VMT Ton-Mile Driver Time'!$D8*'Emissions - Truck'!BV11)+('VMT Ton-Mile Driver Time'!$E8*'Emissions - Truck'!BM11))/1000000)+('VMT Ton-Mile Driver Time'!$G52*'Emissions - Rail'!$C$3/1000000)</f>
        <v>0</v>
      </c>
      <c r="D8" s="188">
        <f>((('VMT Ton-Mile Driver Time'!$C8*'Emissions - Truck'!AM11)+('VMT Ton-Mile Driver Time'!$D8*'Emissions - Truck'!BW11)+('VMT Ton-Mile Driver Time'!$E8*'Emissions - Truck'!BN11))/1000000)+('VMT Ton-Mile Driver Time'!$G52*'Emissions - Rail'!$D$3/1000000)</f>
        <v>0</v>
      </c>
      <c r="E8" s="188">
        <f>((('VMT Ton-Mile Driver Time'!$C8*'Emissions - Truck'!AQ11)+('VMT Ton-Mile Driver Time'!$D8*'Emissions - Truck'!CA11)+('VMT Ton-Mile Driver Time'!$E8*'Emissions - Truck'!BR11))/1000000)+('VMT Ton-Mile Driver Time'!$G52*'Emissions - Rail'!$E$3/1000000)</f>
        <v>0</v>
      </c>
      <c r="F8" s="41">
        <f>((('VMT Ton-Mile Driver Time'!$C8*'Emissions - Truck'!AO11)+('VMT Ton-Mile Driver Time'!$D8*'Emissions - Truck'!BY11)+('VMT Ton-Mile Driver Time'!$E8*'Emissions - Truck'!BP11))/1000000)</f>
        <v>0</v>
      </c>
      <c r="G8" s="188">
        <f>((('VMT Ton-Mile Driver Time'!$C8*'Emissions - Truck'!AP11)+('VMT Ton-Mile Driver Time'!$D8*'Emissions - Truck'!BZ11)+('VMT Ton-Mile Driver Time'!$E8*'Emissions - Truck'!BQ11))/1000000)</f>
        <v>0</v>
      </c>
      <c r="H8" s="42">
        <f>C8*'Monetized Values and Factors'!N48</f>
        <v>0</v>
      </c>
      <c r="I8" s="42">
        <f>D8*'Monetized Values and Factors'!$O$34</f>
        <v>0</v>
      </c>
      <c r="J8" s="42">
        <f>E8*'Monetized Values and Factors'!$O$35</f>
        <v>0</v>
      </c>
      <c r="K8" s="42">
        <f>F8*'Monetized Values and Factors'!$O$36</f>
        <v>0</v>
      </c>
      <c r="L8" s="43">
        <f>G8*'Monetized Values and Factors'!$O$33</f>
        <v>0</v>
      </c>
    </row>
    <row r="9" spans="1:12" x14ac:dyDescent="0.25">
      <c r="A9" s="37">
        <v>2019</v>
      </c>
      <c r="B9" s="4">
        <f>('VMT Ton-Mile Driver Time'!G9/'Monetized Values and Factors'!M$24)+('VMT Ton-Mile Driver Time'!G53/'Monetized Values and Factors'!$M$25)</f>
        <v>0</v>
      </c>
      <c r="C9" s="188">
        <f>((('VMT Ton-Mile Driver Time'!$C9*'Emissions - Truck'!AL12)+('VMT Ton-Mile Driver Time'!$D9*'Emissions - Truck'!BV12)+('VMT Ton-Mile Driver Time'!$E9*'Emissions - Truck'!BM12))/1000000)+('VMT Ton-Mile Driver Time'!$G53*'Emissions - Rail'!$C$3/1000000)</f>
        <v>0</v>
      </c>
      <c r="D9" s="188">
        <f>((('VMT Ton-Mile Driver Time'!$C9*'Emissions - Truck'!AM12)+('VMT Ton-Mile Driver Time'!$D9*'Emissions - Truck'!BW12)+('VMT Ton-Mile Driver Time'!$E9*'Emissions - Truck'!BN12))/1000000)+('VMT Ton-Mile Driver Time'!$G53*'Emissions - Rail'!$D$3/1000000)</f>
        <v>0</v>
      </c>
      <c r="E9" s="188">
        <f>((('VMT Ton-Mile Driver Time'!$C9*'Emissions - Truck'!AQ12)+('VMT Ton-Mile Driver Time'!$D9*'Emissions - Truck'!CA12)+('VMT Ton-Mile Driver Time'!$E9*'Emissions - Truck'!BR12))/1000000)+('VMT Ton-Mile Driver Time'!$G53*'Emissions - Rail'!$E$3/1000000)</f>
        <v>0</v>
      </c>
      <c r="F9" s="41">
        <f>((('VMT Ton-Mile Driver Time'!$C9*'Emissions - Truck'!AO12)+('VMT Ton-Mile Driver Time'!$D9*'Emissions - Truck'!BY12)+('VMT Ton-Mile Driver Time'!$E9*'Emissions - Truck'!BP12))/1000000)</f>
        <v>0</v>
      </c>
      <c r="G9" s="188">
        <f>((('VMT Ton-Mile Driver Time'!$C9*'Emissions - Truck'!AP12)+('VMT Ton-Mile Driver Time'!$D9*'Emissions - Truck'!BZ12)+('VMT Ton-Mile Driver Time'!$E9*'Emissions - Truck'!BQ12))/1000000)</f>
        <v>0</v>
      </c>
      <c r="H9" s="42">
        <f>C9*'Monetized Values and Factors'!N49</f>
        <v>0</v>
      </c>
      <c r="I9" s="42">
        <f>D9*'Monetized Values and Factors'!$O$34</f>
        <v>0</v>
      </c>
      <c r="J9" s="42">
        <f>E9*'Monetized Values and Factors'!$O$35</f>
        <v>0</v>
      </c>
      <c r="K9" s="42">
        <f>F9*'Monetized Values and Factors'!$O$36</f>
        <v>0</v>
      </c>
      <c r="L9" s="43">
        <f>G9*'Monetized Values and Factors'!$O$33</f>
        <v>0</v>
      </c>
    </row>
    <row r="10" spans="1:12" x14ac:dyDescent="0.25">
      <c r="A10" s="37">
        <v>2020</v>
      </c>
      <c r="B10" s="4">
        <f>('VMT Ton-Mile Driver Time'!G10/'Monetized Values and Factors'!M$24)+('VMT Ton-Mile Driver Time'!G54/'Monetized Values and Factors'!$M$25)</f>
        <v>0</v>
      </c>
      <c r="C10" s="188">
        <f>((('VMT Ton-Mile Driver Time'!$C10*'Emissions - Truck'!AL13)+('VMT Ton-Mile Driver Time'!$D10*'Emissions - Truck'!BV13)+('VMT Ton-Mile Driver Time'!$E10*'Emissions - Truck'!BM13))/1000000)+('VMT Ton-Mile Driver Time'!$G54*'Emissions - Rail'!$C$3/1000000)</f>
        <v>0</v>
      </c>
      <c r="D10" s="188">
        <f>((('VMT Ton-Mile Driver Time'!$C10*'Emissions - Truck'!AM13)+('VMT Ton-Mile Driver Time'!$D10*'Emissions - Truck'!BW13)+('VMT Ton-Mile Driver Time'!$E10*'Emissions - Truck'!BN13))/1000000)+('VMT Ton-Mile Driver Time'!$G54*'Emissions - Rail'!$D$3/1000000)</f>
        <v>0</v>
      </c>
      <c r="E10" s="188">
        <f>((('VMT Ton-Mile Driver Time'!$C10*'Emissions - Truck'!AQ13)+('VMT Ton-Mile Driver Time'!$D10*'Emissions - Truck'!CA13)+('VMT Ton-Mile Driver Time'!$E10*'Emissions - Truck'!BR13))/1000000)+('VMT Ton-Mile Driver Time'!$G54*'Emissions - Rail'!$E$3/1000000)</f>
        <v>0</v>
      </c>
      <c r="F10" s="41">
        <f>((('VMT Ton-Mile Driver Time'!$C10*'Emissions - Truck'!AO13)+('VMT Ton-Mile Driver Time'!$D10*'Emissions - Truck'!BY13)+('VMT Ton-Mile Driver Time'!$E10*'Emissions - Truck'!BP13))/1000000)</f>
        <v>0</v>
      </c>
      <c r="G10" s="188">
        <f>((('VMT Ton-Mile Driver Time'!$C10*'Emissions - Truck'!AP13)+('VMT Ton-Mile Driver Time'!$D10*'Emissions - Truck'!BZ13)+('VMT Ton-Mile Driver Time'!$E10*'Emissions - Truck'!BQ13))/1000000)</f>
        <v>0</v>
      </c>
      <c r="H10" s="42">
        <f>C10*'Monetized Values and Factors'!N50</f>
        <v>0</v>
      </c>
      <c r="I10" s="42">
        <f>D10*'Monetized Values and Factors'!$O$34</f>
        <v>0</v>
      </c>
      <c r="J10" s="42">
        <f>E10*'Monetized Values and Factors'!$O$35</f>
        <v>0</v>
      </c>
      <c r="K10" s="42">
        <f>F10*'Monetized Values and Factors'!$O$36</f>
        <v>0</v>
      </c>
      <c r="L10" s="43">
        <f>G10*'Monetized Values and Factors'!$O$33</f>
        <v>0</v>
      </c>
    </row>
    <row r="11" spans="1:12" x14ac:dyDescent="0.25">
      <c r="A11" s="37">
        <v>2021</v>
      </c>
      <c r="B11" s="4">
        <f>('VMT Ton-Mile Driver Time'!G11/'Monetized Values and Factors'!M$24)+('VMT Ton-Mile Driver Time'!G55/'Monetized Values and Factors'!$M$25)</f>
        <v>0</v>
      </c>
      <c r="C11" s="188">
        <f>((('VMT Ton-Mile Driver Time'!$C11*'Emissions - Truck'!AL14)+('VMT Ton-Mile Driver Time'!$D11*'Emissions - Truck'!BV14)+('VMT Ton-Mile Driver Time'!$E11*'Emissions - Truck'!BM14))/1000000)+('VMT Ton-Mile Driver Time'!$G55*'Emissions - Rail'!$C$3/1000000)</f>
        <v>0</v>
      </c>
      <c r="D11" s="188">
        <f>((('VMT Ton-Mile Driver Time'!$C11*'Emissions - Truck'!AM14)+('VMT Ton-Mile Driver Time'!$D11*'Emissions - Truck'!BW14)+('VMT Ton-Mile Driver Time'!$E11*'Emissions - Truck'!BN14))/1000000)+('VMT Ton-Mile Driver Time'!$G55*'Emissions - Rail'!$D$3/1000000)</f>
        <v>0</v>
      </c>
      <c r="E11" s="188">
        <f>((('VMT Ton-Mile Driver Time'!$C11*'Emissions - Truck'!AQ14)+('VMT Ton-Mile Driver Time'!$D11*'Emissions - Truck'!CA14)+('VMT Ton-Mile Driver Time'!$E11*'Emissions - Truck'!BR14))/1000000)+('VMT Ton-Mile Driver Time'!$G55*'Emissions - Rail'!$E$3/1000000)</f>
        <v>0</v>
      </c>
      <c r="F11" s="41">
        <f>((('VMT Ton-Mile Driver Time'!$C11*'Emissions - Truck'!AO14)+('VMT Ton-Mile Driver Time'!$D11*'Emissions - Truck'!BY14)+('VMT Ton-Mile Driver Time'!$E11*'Emissions - Truck'!BP14))/1000000)</f>
        <v>0</v>
      </c>
      <c r="G11" s="188">
        <f>((('VMT Ton-Mile Driver Time'!$C11*'Emissions - Truck'!AP14)+('VMT Ton-Mile Driver Time'!$D11*'Emissions - Truck'!BZ14)+('VMT Ton-Mile Driver Time'!$E11*'Emissions - Truck'!BQ14))/1000000)</f>
        <v>0</v>
      </c>
      <c r="H11" s="42">
        <f>C11*'Monetized Values and Factors'!N51</f>
        <v>0</v>
      </c>
      <c r="I11" s="42">
        <f>D11*'Monetized Values and Factors'!$O$34</f>
        <v>0</v>
      </c>
      <c r="J11" s="42">
        <f>E11*'Monetized Values and Factors'!$O$35</f>
        <v>0</v>
      </c>
      <c r="K11" s="42">
        <f>F11*'Monetized Values and Factors'!$O$36</f>
        <v>0</v>
      </c>
      <c r="L11" s="43">
        <f>G11*'Monetized Values and Factors'!$O$33</f>
        <v>0</v>
      </c>
    </row>
    <row r="12" spans="1:12" x14ac:dyDescent="0.25">
      <c r="A12" s="37">
        <v>2022</v>
      </c>
      <c r="B12" s="4">
        <f>('VMT Ton-Mile Driver Time'!G12/'Monetized Values and Factors'!M$24)+('VMT Ton-Mile Driver Time'!G56/'Monetized Values and Factors'!$M$25)</f>
        <v>0</v>
      </c>
      <c r="C12" s="188">
        <f>((('VMT Ton-Mile Driver Time'!$C12*'Emissions - Truck'!AL15)+('VMT Ton-Mile Driver Time'!$D12*'Emissions - Truck'!BV15)+('VMT Ton-Mile Driver Time'!$E12*'Emissions - Truck'!BM15))/1000000)+('VMT Ton-Mile Driver Time'!$G56*'Emissions - Rail'!$C$3/1000000)</f>
        <v>0</v>
      </c>
      <c r="D12" s="188">
        <f>((('VMT Ton-Mile Driver Time'!$C12*'Emissions - Truck'!AM15)+('VMT Ton-Mile Driver Time'!$D12*'Emissions - Truck'!BW15)+('VMT Ton-Mile Driver Time'!$E12*'Emissions - Truck'!BN15))/1000000)+('VMT Ton-Mile Driver Time'!$G56*'Emissions - Rail'!$D$3/1000000)</f>
        <v>0</v>
      </c>
      <c r="E12" s="188">
        <f>((('VMT Ton-Mile Driver Time'!$C12*'Emissions - Truck'!AQ15)+('VMT Ton-Mile Driver Time'!$D12*'Emissions - Truck'!CA15)+('VMT Ton-Mile Driver Time'!$E12*'Emissions - Truck'!BR15))/1000000)+('VMT Ton-Mile Driver Time'!$G56*'Emissions - Rail'!$E$3/1000000)</f>
        <v>0</v>
      </c>
      <c r="F12" s="41">
        <f>((('VMT Ton-Mile Driver Time'!$C12*'Emissions - Truck'!AO15)+('VMT Ton-Mile Driver Time'!$D12*'Emissions - Truck'!BY15)+('VMT Ton-Mile Driver Time'!$E12*'Emissions - Truck'!BP15))/1000000)</f>
        <v>0</v>
      </c>
      <c r="G12" s="188">
        <f>((('VMT Ton-Mile Driver Time'!$C12*'Emissions - Truck'!AP15)+('VMT Ton-Mile Driver Time'!$D12*'Emissions - Truck'!BZ15)+('VMT Ton-Mile Driver Time'!$E12*'Emissions - Truck'!BQ15))/1000000)</f>
        <v>0</v>
      </c>
      <c r="H12" s="42">
        <f>C12*'Monetized Values and Factors'!N52</f>
        <v>0</v>
      </c>
      <c r="I12" s="42">
        <f>D12*'Monetized Values and Factors'!$O$34</f>
        <v>0</v>
      </c>
      <c r="J12" s="42">
        <f>E12*'Monetized Values and Factors'!$O$35</f>
        <v>0</v>
      </c>
      <c r="K12" s="42">
        <f>F12*'Monetized Values and Factors'!$O$36</f>
        <v>0</v>
      </c>
      <c r="L12" s="43">
        <f>G12*'Monetized Values and Factors'!$O$33</f>
        <v>0</v>
      </c>
    </row>
    <row r="13" spans="1:12" x14ac:dyDescent="0.25">
      <c r="A13" s="37">
        <v>2023</v>
      </c>
      <c r="B13" s="4">
        <f>('VMT Ton-Mile Driver Time'!G13/'Monetized Values and Factors'!M$24)+('VMT Ton-Mile Driver Time'!G57/'Monetized Values and Factors'!$M$25)</f>
        <v>788565.26818181819</v>
      </c>
      <c r="C13" s="188">
        <f>((('VMT Ton-Mile Driver Time'!$C13*'Emissions - Truck'!AL16)+('VMT Ton-Mile Driver Time'!$D13*'Emissions - Truck'!BV16)+('VMT Ton-Mile Driver Time'!$E13*'Emissions - Truck'!BM16))/1000000)+('VMT Ton-Mile Driver Time'!$G57*'Emissions - Rail'!$C$3/1000000)</f>
        <v>4561.3414428718261</v>
      </c>
      <c r="D13" s="188">
        <f>((('VMT Ton-Mile Driver Time'!$C13*'Emissions - Truck'!AM16)+('VMT Ton-Mile Driver Time'!$D13*'Emissions - Truck'!BW16)+('VMT Ton-Mile Driver Time'!$E13*'Emissions - Truck'!BN16))/1000000)+('VMT Ton-Mile Driver Time'!$G57*'Emissions - Rail'!$D$3/1000000)</f>
        <v>36.236135216984259</v>
      </c>
      <c r="E13" s="188">
        <f>((('VMT Ton-Mile Driver Time'!$C13*'Emissions - Truck'!AQ16)+('VMT Ton-Mile Driver Time'!$D13*'Emissions - Truck'!CA16)+('VMT Ton-Mile Driver Time'!$E13*'Emissions - Truck'!BR16))/1000000)+('VMT Ton-Mile Driver Time'!$G57*'Emissions - Rail'!$E$3/1000000)</f>
        <v>0.9539794167149408</v>
      </c>
      <c r="F13" s="41">
        <f>((('VMT Ton-Mile Driver Time'!$C13*'Emissions - Truck'!AO16)+('VMT Ton-Mile Driver Time'!$D13*'Emissions - Truck'!BY16)+('VMT Ton-Mile Driver Time'!$E13*'Emissions - Truck'!BP16))/1000000)</f>
        <v>2.8716299111834487E-2</v>
      </c>
      <c r="G13" s="188">
        <f>((('VMT Ton-Mile Driver Time'!$C13*'Emissions - Truck'!AP16)+('VMT Ton-Mile Driver Time'!$D13*'Emissions - Truck'!BZ16)+('VMT Ton-Mile Driver Time'!$E13*'Emissions - Truck'!BQ16))/1000000)</f>
        <v>0.15841538835891061</v>
      </c>
      <c r="H13" s="42">
        <f>C13*'Monetized Values and Factors'!N53</f>
        <v>4561.3414428718261</v>
      </c>
      <c r="I13" s="42">
        <f>D13*'Monetized Values and Factors'!$O$34</f>
        <v>331287.05441451771</v>
      </c>
      <c r="J13" s="42">
        <f>E13*'Monetized Values and Factors'!$O$35</f>
        <v>396995.38613384741</v>
      </c>
      <c r="K13" s="42">
        <f>F13*'Monetized Values and Factors'!$O$36</f>
        <v>1546.7560697654301</v>
      </c>
      <c r="L13" s="43">
        <f>G13*'Monetized Values and Factors'!$O$33</f>
        <v>348.98910055468008</v>
      </c>
    </row>
    <row r="14" spans="1:12" x14ac:dyDescent="0.25">
      <c r="A14" s="37">
        <v>2024</v>
      </c>
      <c r="B14" s="4">
        <f>('VMT Ton-Mile Driver Time'!G14/'Monetized Values and Factors'!M$24)+('VMT Ton-Mile Driver Time'!G58/'Monetized Values and Factors'!$M$25)</f>
        <v>1577130.5363636364</v>
      </c>
      <c r="C14" s="188">
        <f>((('VMT Ton-Mile Driver Time'!$C14*'Emissions - Truck'!AL17)+('VMT Ton-Mile Driver Time'!$D14*'Emissions - Truck'!BV17)+('VMT Ton-Mile Driver Time'!$E14*'Emissions - Truck'!BM17))/1000000)+('VMT Ton-Mile Driver Time'!$G58*'Emissions - Rail'!$C$3/1000000)</f>
        <v>9110.4663244493768</v>
      </c>
      <c r="D14" s="188">
        <f>((('VMT Ton-Mile Driver Time'!$C14*'Emissions - Truck'!AM17)+('VMT Ton-Mile Driver Time'!$D14*'Emissions - Truck'!BW17)+('VMT Ton-Mile Driver Time'!$E14*'Emissions - Truck'!BN17))/1000000)+('VMT Ton-Mile Driver Time'!$G58*'Emissions - Rail'!$D$3/1000000)</f>
        <v>71.480967695095643</v>
      </c>
      <c r="E14" s="188">
        <f>((('VMT Ton-Mile Driver Time'!$C14*'Emissions - Truck'!AQ17)+('VMT Ton-Mile Driver Time'!$D14*'Emissions - Truck'!CA17)+('VMT Ton-Mile Driver Time'!$E14*'Emissions - Truck'!BR17))/1000000)+('VMT Ton-Mile Driver Time'!$G58*'Emissions - Rail'!$E$3/1000000)</f>
        <v>1.8947106932809348</v>
      </c>
      <c r="F14" s="41">
        <f>((('VMT Ton-Mile Driver Time'!$C14*'Emissions - Truck'!AO17)+('VMT Ton-Mile Driver Time'!$D14*'Emissions - Truck'!BY17)+('VMT Ton-Mile Driver Time'!$E14*'Emissions - Truck'!BP17))/1000000)</f>
        <v>5.7310519628549425E-2</v>
      </c>
      <c r="G14" s="188">
        <f>((('VMT Ton-Mile Driver Time'!$C14*'Emissions - Truck'!AP17)+('VMT Ton-Mile Driver Time'!$D14*'Emissions - Truck'!BZ17)+('VMT Ton-Mile Driver Time'!$E14*'Emissions - Truck'!BQ17))/1000000)</f>
        <v>0.2934420655170828</v>
      </c>
      <c r="H14" s="42">
        <f>C14*'Monetized Values and Factors'!N54</f>
        <v>9110.4663244493768</v>
      </c>
      <c r="I14" s="42">
        <f>D14*'Monetized Values and Factors'!$O$34</f>
        <v>653511.17310402705</v>
      </c>
      <c r="J14" s="42">
        <f>E14*'Monetized Values and Factors'!$O$35</f>
        <v>788477.6024635731</v>
      </c>
      <c r="K14" s="42">
        <f>F14*'Monetized Values and Factors'!$O$36</f>
        <v>3086.9365774344278</v>
      </c>
      <c r="L14" s="43">
        <f>G14*'Monetized Values and Factors'!$O$33</f>
        <v>646.45287033413342</v>
      </c>
    </row>
    <row r="15" spans="1:12" x14ac:dyDescent="0.25">
      <c r="A15" s="37">
        <v>2025</v>
      </c>
      <c r="B15" s="4">
        <f>('VMT Ton-Mile Driver Time'!G15/'Monetized Values and Factors'!M$24)+('VMT Ton-Mile Driver Time'!G59/'Monetized Values and Factors'!$M$25)</f>
        <v>2365695.8045454547</v>
      </c>
      <c r="C15" s="188">
        <f>((('VMT Ton-Mile Driver Time'!$C15*'Emissions - Truck'!AL18)+('VMT Ton-Mile Driver Time'!$D15*'Emissions - Truck'!BV18)+('VMT Ton-Mile Driver Time'!$E15*'Emissions - Truck'!BM18))/1000000)+('VMT Ton-Mile Driver Time'!$G59*'Emissions - Rail'!$C$3/1000000)</f>
        <v>13647.412100603651</v>
      </c>
      <c r="D15" s="188">
        <f>((('VMT Ton-Mile Driver Time'!$C15*'Emissions - Truck'!AM18)+('VMT Ton-Mile Driver Time'!$D15*'Emissions - Truck'!BW18)+('VMT Ton-Mile Driver Time'!$E15*'Emissions - Truck'!BN18))/1000000)+('VMT Ton-Mile Driver Time'!$G59*'Emissions - Rail'!$D$3/1000000)</f>
        <v>105.90801601676885</v>
      </c>
      <c r="E15" s="188">
        <f>((('VMT Ton-Mile Driver Time'!$C15*'Emissions - Truck'!AQ18)+('VMT Ton-Mile Driver Time'!$D15*'Emissions - Truck'!CA18)+('VMT Ton-Mile Driver Time'!$E15*'Emissions - Truck'!BR18))/1000000)+('VMT Ton-Mile Driver Time'!$G59*'Emissions - Rail'!$E$3/1000000)</f>
        <v>2.8245911521841474</v>
      </c>
      <c r="F15" s="41">
        <f>((('VMT Ton-Mile Driver Time'!$C15*'Emissions - Truck'!AO18)+('VMT Ton-Mile Driver Time'!$D15*'Emissions - Truck'!BY18)+('VMT Ton-Mile Driver Time'!$E15*'Emissions - Truck'!BP18))/1000000)</f>
        <v>8.5783053641387885E-2</v>
      </c>
      <c r="G15" s="188">
        <f>((('VMT Ton-Mile Driver Time'!$C15*'Emissions - Truck'!AP18)+('VMT Ton-Mile Driver Time'!$D15*'Emissions - Truck'!BZ18)+('VMT Ton-Mile Driver Time'!$E15*'Emissions - Truck'!BQ18))/1000000)</f>
        <v>0.4076703924790977</v>
      </c>
      <c r="H15" s="42">
        <f>C15*'Monetized Values and Factors'!N55</f>
        <v>13647.412100603651</v>
      </c>
      <c r="I15" s="42">
        <f>D15*'Monetized Values and Factors'!$O$34</f>
        <v>968258.74103250832</v>
      </c>
      <c r="J15" s="42">
        <f>E15*'Monetized Values and Factors'!$O$35</f>
        <v>1175444.2868306306</v>
      </c>
      <c r="K15" s="42">
        <f>F15*'Monetized Values and Factors'!$O$36</f>
        <v>4620.5626423548501</v>
      </c>
      <c r="L15" s="43">
        <f>G15*'Monetized Values and Factors'!$O$33</f>
        <v>898.09787463145221</v>
      </c>
    </row>
    <row r="16" spans="1:12" x14ac:dyDescent="0.25">
      <c r="A16" s="37">
        <v>2026</v>
      </c>
      <c r="B16" s="4">
        <f>('VMT Ton-Mile Driver Time'!G16/'Monetized Values and Factors'!M$24)+('VMT Ton-Mile Driver Time'!G60/'Monetized Values and Factors'!$M$25)</f>
        <v>3154261.0727272728</v>
      </c>
      <c r="C16" s="188">
        <f>((('VMT Ton-Mile Driver Time'!$C16*'Emissions - Truck'!AL19)+('VMT Ton-Mile Driver Time'!$D16*'Emissions - Truck'!BV19)+('VMT Ton-Mile Driver Time'!$E16*'Emissions - Truck'!BM19))/1000000)+('VMT Ton-Mile Driver Time'!$G60*'Emissions - Rail'!$C$3/1000000)</f>
        <v>18172.216124630882</v>
      </c>
      <c r="D16" s="188">
        <f>((('VMT Ton-Mile Driver Time'!$C16*'Emissions - Truck'!AM19)+('VMT Ton-Mile Driver Time'!$D16*'Emissions - Truck'!BW19)+('VMT Ton-Mile Driver Time'!$E16*'Emissions - Truck'!BN19))/1000000)+('VMT Ton-Mile Driver Time'!$G60*'Emissions - Rail'!$D$3/1000000)</f>
        <v>139.66379968526141</v>
      </c>
      <c r="E16" s="188">
        <f>((('VMT Ton-Mile Driver Time'!$C16*'Emissions - Truck'!AQ19)+('VMT Ton-Mile Driver Time'!$D16*'Emissions - Truck'!CA19)+('VMT Ton-Mile Driver Time'!$E16*'Emissions - Truck'!BR19))/1000000)+('VMT Ton-Mile Driver Time'!$G60*'Emissions - Rail'!$E$3/1000000)</f>
        <v>3.7456318202274157</v>
      </c>
      <c r="F16" s="41">
        <f>((('VMT Ton-Mile Driver Time'!$C16*'Emissions - Truck'!AO19)+('VMT Ton-Mile Driver Time'!$D16*'Emissions - Truck'!BY19)+('VMT Ton-Mile Driver Time'!$E16*'Emissions - Truck'!BP19))/1000000)</f>
        <v>0.11413429211501201</v>
      </c>
      <c r="G16" s="188">
        <f>((('VMT Ton-Mile Driver Time'!$C16*'Emissions - Truck'!AP19)+('VMT Ton-Mile Driver Time'!$D16*'Emissions - Truck'!BZ19)+('VMT Ton-Mile Driver Time'!$E16*'Emissions - Truck'!BQ19))/1000000)</f>
        <v>0.5034356684746355</v>
      </c>
      <c r="H16" s="42">
        <f>C16*'Monetized Values and Factors'!N56</f>
        <v>18172.216124630882</v>
      </c>
      <c r="I16" s="42">
        <f>D16*'Monetized Values and Factors'!$O$34</f>
        <v>1276869.305432518</v>
      </c>
      <c r="J16" s="42">
        <f>E16*'Monetized Values and Factors'!$O$35</f>
        <v>1558732.3214026322</v>
      </c>
      <c r="K16" s="42">
        <f>F16*'Monetized Values and Factors'!$O$36</f>
        <v>6147.6553231931321</v>
      </c>
      <c r="L16" s="43">
        <f>G16*'Monetized Values and Factors'!$O$33</f>
        <v>1109.068777649622</v>
      </c>
    </row>
    <row r="17" spans="1:12" x14ac:dyDescent="0.25">
      <c r="A17" s="37">
        <v>2027</v>
      </c>
      <c r="B17" s="4">
        <f>('VMT Ton-Mile Driver Time'!G17/'Monetized Values and Factors'!M$24)+('VMT Ton-Mile Driver Time'!G61/'Monetized Values and Factors'!$M$25)</f>
        <v>3942826.3409090908</v>
      </c>
      <c r="C17" s="188">
        <f>((('VMT Ton-Mile Driver Time'!$C17*'Emissions - Truck'!AL20)+('VMT Ton-Mile Driver Time'!$D17*'Emissions - Truck'!BV20)+('VMT Ton-Mile Driver Time'!$E17*'Emissions - Truck'!BM20))/1000000)+('VMT Ton-Mile Driver Time'!$G61*'Emissions - Rail'!$C$3/1000000)</f>
        <v>22684.915647517031</v>
      </c>
      <c r="D17" s="188">
        <f>((('VMT Ton-Mile Driver Time'!$C17*'Emissions - Truck'!AM20)+('VMT Ton-Mile Driver Time'!$D17*'Emissions - Truck'!BW20)+('VMT Ton-Mile Driver Time'!$E17*'Emissions - Truck'!BN20))/1000000)+('VMT Ton-Mile Driver Time'!$G61*'Emissions - Rail'!$D$3/1000000)</f>
        <v>172.87177769816799</v>
      </c>
      <c r="E17" s="188">
        <f>((('VMT Ton-Mile Driver Time'!$C17*'Emissions - Truck'!AQ20)+('VMT Ton-Mile Driver Time'!$D17*'Emissions - Truck'!CA20)+('VMT Ton-Mile Driver Time'!$E17*'Emissions - Truck'!BR20))/1000000)+('VMT Ton-Mile Driver Time'!$G61*'Emissions - Rail'!$E$3/1000000)</f>
        <v>4.6595158913937809</v>
      </c>
      <c r="F17" s="41">
        <f>((('VMT Ton-Mile Driver Time'!$C17*'Emissions - Truck'!AO20)+('VMT Ton-Mile Driver Time'!$D17*'Emissions - Truck'!BY20)+('VMT Ton-Mile Driver Time'!$E17*'Emissions - Truck'!BP20))/1000000)</f>
        <v>0.14236462489055454</v>
      </c>
      <c r="G17" s="188">
        <f>((('VMT Ton-Mile Driver Time'!$C17*'Emissions - Truck'!AP20)+('VMT Ton-Mile Driver Time'!$D17*'Emissions - Truck'!BZ20)+('VMT Ton-Mile Driver Time'!$E17*'Emissions - Truck'!BQ20))/1000000)</f>
        <v>0.58284168064338371</v>
      </c>
      <c r="H17" s="42">
        <f>C17*'Monetized Values and Factors'!N57</f>
        <v>22684.915647517031</v>
      </c>
      <c r="I17" s="42">
        <f>D17*'Monetized Values and Factors'!$O$34</f>
        <v>1580471.5840166158</v>
      </c>
      <c r="J17" s="42">
        <f>E17*'Monetized Values and Factors'!$O$35</f>
        <v>1939042.16180108</v>
      </c>
      <c r="K17" s="42">
        <f>F17*'Monetized Values and Factors'!$O$36</f>
        <v>7668.2356180986508</v>
      </c>
      <c r="L17" s="43">
        <f>G17*'Monetized Values and Factors'!$O$33</f>
        <v>1284.0002224573743</v>
      </c>
    </row>
    <row r="18" spans="1:12" x14ac:dyDescent="0.25">
      <c r="A18" s="37">
        <v>2028</v>
      </c>
      <c r="B18" s="4">
        <f>('VMT Ton-Mile Driver Time'!G18/'Monetized Values and Factors'!M$24)+('VMT Ton-Mile Driver Time'!G62/'Monetized Values and Factors'!$M$25)</f>
        <v>4731391.6090909094</v>
      </c>
      <c r="C18" s="188">
        <f>((('VMT Ton-Mile Driver Time'!$C18*'Emissions - Truck'!AL21)+('VMT Ton-Mile Driver Time'!$D18*'Emissions - Truck'!BV21)+('VMT Ton-Mile Driver Time'!$E18*'Emissions - Truck'!BM21))/1000000)+('VMT Ton-Mile Driver Time'!$G62*'Emissions - Rail'!$C$3/1000000)</f>
        <v>27185.547818201605</v>
      </c>
      <c r="D18" s="188">
        <f>((('VMT Ton-Mile Driver Time'!$C18*'Emissions - Truck'!AM21)+('VMT Ton-Mile Driver Time'!$D18*'Emissions - Truck'!BW21)+('VMT Ton-Mile Driver Time'!$E18*'Emissions - Truck'!BN21))/1000000)+('VMT Ton-Mile Driver Time'!$G62*'Emissions - Rail'!$D$3/1000000)</f>
        <v>205.63573553151787</v>
      </c>
      <c r="E18" s="188">
        <f>((('VMT Ton-Mile Driver Time'!$C18*'Emissions - Truck'!AQ21)+('VMT Ton-Mile Driver Time'!$D18*'Emissions - Truck'!CA21)+('VMT Ton-Mile Driver Time'!$E18*'Emissions - Truck'!BR21))/1000000)+('VMT Ton-Mile Driver Time'!$G62*'Emissions - Rail'!$E$3/1000000)</f>
        <v>5.5676486797765348</v>
      </c>
      <c r="F18" s="41">
        <f>((('VMT Ton-Mile Driver Time'!$C18*'Emissions - Truck'!AO21)+('VMT Ton-Mile Driver Time'!$D18*'Emissions - Truck'!BY21)+('VMT Ton-Mile Driver Time'!$E18*'Emissions - Truck'!BP21))/1000000)</f>
        <v>0.1704744406886623</v>
      </c>
      <c r="G18" s="188">
        <f>((('VMT Ton-Mile Driver Time'!$C18*'Emissions - Truck'!AP21)+('VMT Ton-Mile Driver Time'!$D18*'Emissions - Truck'!BZ21)+('VMT Ton-Mile Driver Time'!$E18*'Emissions - Truck'!BQ21))/1000000)</f>
        <v>0.64778216596679572</v>
      </c>
      <c r="H18" s="42">
        <f>C18*'Monetized Values and Factors'!N58</f>
        <v>27185.547818201605</v>
      </c>
      <c r="I18" s="42">
        <f>D18*'Monetized Values and Factors'!$O$34</f>
        <v>1880014.4303101252</v>
      </c>
      <c r="J18" s="42">
        <f>E18*'Monetized Values and Factors'!$O$35</f>
        <v>2316958.6248483616</v>
      </c>
      <c r="K18" s="42">
        <f>F18*'Monetized Values and Factors'!$O$36</f>
        <v>9182.3244648676573</v>
      </c>
      <c r="L18" s="43">
        <f>G18*'Monetized Values and Factors'!$O$33</f>
        <v>1427.064111624851</v>
      </c>
    </row>
    <row r="19" spans="1:12" x14ac:dyDescent="0.25">
      <c r="A19" s="37">
        <v>2029</v>
      </c>
      <c r="B19" s="4">
        <f>('VMT Ton-Mile Driver Time'!G19/'Monetized Values and Factors'!M$24)+('VMT Ton-Mile Driver Time'!G63/'Monetized Values and Factors'!$M$25)</f>
        <v>6308522.1454545455</v>
      </c>
      <c r="C19" s="188">
        <f>((('VMT Ton-Mile Driver Time'!$C19*'Emissions - Truck'!AL22)+('VMT Ton-Mile Driver Time'!$D19*'Emissions - Truck'!BV22)+('VMT Ton-Mile Driver Time'!$E19*'Emissions - Truck'!BM22))/1000000)+('VMT Ton-Mile Driver Time'!$G63*'Emissions - Rail'!$C$3/1000000)</f>
        <v>36199.028210103803</v>
      </c>
      <c r="D19" s="188">
        <f>((('VMT Ton-Mile Driver Time'!$C19*'Emissions - Truck'!AM22)+('VMT Ton-Mile Driver Time'!$D19*'Emissions - Truck'!BW22)+('VMT Ton-Mile Driver Time'!$E19*'Emissions - Truck'!BN22))/1000000)+('VMT Ton-Mile Driver Time'!$G63*'Emissions - Rail'!$D$3/1000000)</f>
        <v>272.04879501756602</v>
      </c>
      <c r="E19" s="188">
        <f>((('VMT Ton-Mile Driver Time'!$C19*'Emissions - Truck'!AQ22)+('VMT Ton-Mile Driver Time'!$D19*'Emissions - Truck'!CA22)+('VMT Ton-Mile Driver Time'!$E19*'Emissions - Truck'!BR22))/1000000)+('VMT Ton-Mile Driver Time'!$G63*'Emissions - Rail'!$E$3/1000000)</f>
        <v>7.3956574505049621</v>
      </c>
      <c r="F19" s="41">
        <f>((('VMT Ton-Mile Driver Time'!$C19*'Emissions - Truck'!AO22)+('VMT Ton-Mile Driver Time'!$D19*'Emissions - Truck'!BY22)+('VMT Ton-Mile Driver Time'!$E19*'Emissions - Truck'!BP22))/1000000)</f>
        <v>0.22681614527146479</v>
      </c>
      <c r="G19" s="188">
        <f>((('VMT Ton-Mile Driver Time'!$C19*'Emissions - Truck'!AP22)+('VMT Ton-Mile Driver Time'!$D19*'Emissions - Truck'!BZ22)+('VMT Ton-Mile Driver Time'!$E19*'Emissions - Truck'!BQ22))/1000000)</f>
        <v>0.7999547033435106</v>
      </c>
      <c r="H19" s="42">
        <f>C19*'Monetized Values and Factors'!N59</f>
        <v>36199.028210103803</v>
      </c>
      <c r="I19" s="42">
        <f>D19*'Monetized Values and Factors'!$O$34</f>
        <v>2487192.5060083461</v>
      </c>
      <c r="J19" s="42">
        <f>E19*'Monetized Values and Factors'!$O$35</f>
        <v>3077678.4423580528</v>
      </c>
      <c r="K19" s="42">
        <f>F19*'Monetized Values and Factors'!$O$36</f>
        <v>12217.077418407753</v>
      </c>
      <c r="L19" s="43">
        <f>G19*'Monetized Values and Factors'!$O$33</f>
        <v>1762.3002114657538</v>
      </c>
    </row>
    <row r="20" spans="1:12" x14ac:dyDescent="0.25">
      <c r="A20" s="37">
        <v>2030</v>
      </c>
      <c r="B20" s="4">
        <f>('VMT Ton-Mile Driver Time'!G20/'Monetized Values and Factors'!M$24)+('VMT Ton-Mile Driver Time'!G64/'Monetized Values and Factors'!$M$25)</f>
        <v>7885652.6818181816</v>
      </c>
      <c r="C20" s="188">
        <f>((('VMT Ton-Mile Driver Time'!$C20*'Emissions - Truck'!AL23)+('VMT Ton-Mile Driver Time'!$D20*'Emissions - Truck'!BV23)+('VMT Ton-Mile Driver Time'!$E20*'Emissions - Truck'!BM23))/1000000)+('VMT Ton-Mile Driver Time'!$G64*'Emissions - Rail'!$C$3/1000000)</f>
        <v>45188.447737587703</v>
      </c>
      <c r="D20" s="188">
        <f>((('VMT Ton-Mile Driver Time'!$C20*'Emissions - Truck'!AM23)+('VMT Ton-Mile Driver Time'!$D20*'Emissions - Truck'!BW23)+('VMT Ton-Mile Driver Time'!$E20*'Emissions - Truck'!BN23))/1000000)+('VMT Ton-Mile Driver Time'!$G64*'Emissions - Rail'!$D$3/1000000)</f>
        <v>337.70677070442582</v>
      </c>
      <c r="E20" s="188">
        <f>((('VMT Ton-Mile Driver Time'!$C20*'Emissions - Truck'!AQ23)+('VMT Ton-Mile Driver Time'!$D20*'Emissions - Truck'!CA23)+('VMT Ton-Mile Driver Time'!$E20*'Emissions - Truck'!BR23))/1000000)+('VMT Ton-Mile Driver Time'!$G64*'Emissions - Rail'!$E$3/1000000)</f>
        <v>9.213927372712412</v>
      </c>
      <c r="F20" s="41">
        <f>((('VMT Ton-Mile Driver Time'!$C20*'Emissions - Truck'!AO23)+('VMT Ton-Mile Driver Time'!$D20*'Emissions - Truck'!BY23)+('VMT Ton-Mile Driver Time'!$E20*'Emissions - Truck'!BP23))/1000000)</f>
        <v>0.28291758831367081</v>
      </c>
      <c r="G20" s="188">
        <f>((('VMT Ton-Mile Driver Time'!$C20*'Emissions - Truck'!AP23)+('VMT Ton-Mile Driver Time'!$D20*'Emissions - Truck'!BZ23)+('VMT Ton-Mile Driver Time'!$E20*'Emissions - Truck'!BQ23))/1000000)</f>
        <v>0.92613354395007297</v>
      </c>
      <c r="H20" s="42">
        <f>C20*'Monetized Values and Factors'!N60</f>
        <v>45188.447737587703</v>
      </c>
      <c r="I20" s="42">
        <f>D20*'Monetized Values and Factors'!$O$34</f>
        <v>3087467.2658266774</v>
      </c>
      <c r="J20" s="42">
        <f>E20*'Monetized Values and Factors'!$O$35</f>
        <v>3834345.4701939397</v>
      </c>
      <c r="K20" s="42">
        <f>F20*'Monetized Values and Factors'!$O$36</f>
        <v>15238.889080495161</v>
      </c>
      <c r="L20" s="43">
        <f>G20*'Monetized Values and Factors'!$O$33</f>
        <v>2040.2721973220107</v>
      </c>
    </row>
    <row r="21" spans="1:12" x14ac:dyDescent="0.25">
      <c r="A21" s="37">
        <v>2031</v>
      </c>
      <c r="B21" s="4">
        <f>('VMT Ton-Mile Driver Time'!G21/'Monetized Values and Factors'!M$24)+('VMT Ton-Mile Driver Time'!G65/'Monetized Values and Factors'!$M$25)</f>
        <v>9462783.2181818187</v>
      </c>
      <c r="C21" s="188">
        <f>((('VMT Ton-Mile Driver Time'!$C21*'Emissions - Truck'!AL24)+('VMT Ton-Mile Driver Time'!$D21*'Emissions - Truck'!BV24)+('VMT Ton-Mile Driver Time'!$E21*'Emissions - Truck'!BM24))/1000000)+('VMT Ton-Mile Driver Time'!$G65*'Emissions - Rail'!$C$3/1000000)</f>
        <v>54153.880241688217</v>
      </c>
      <c r="D21" s="188">
        <f>((('VMT Ton-Mile Driver Time'!$C21*'Emissions - Truck'!AM24)+('VMT Ton-Mile Driver Time'!$D21*'Emissions - Truck'!BW24)+('VMT Ton-Mile Driver Time'!$E21*'Emissions - Truck'!BN24))/1000000)+('VMT Ton-Mile Driver Time'!$G65*'Emissions - Rail'!$D$3/1000000)</f>
        <v>402.75271602307225</v>
      </c>
      <c r="E21" s="188">
        <f>((('VMT Ton-Mile Driver Time'!$C21*'Emissions - Truck'!AQ24)+('VMT Ton-Mile Driver Time'!$D21*'Emissions - Truck'!CA24)+('VMT Ton-Mile Driver Time'!$E21*'Emissions - Truck'!BR24))/1000000)+('VMT Ton-Mile Driver Time'!$G65*'Emissions - Rail'!$E$3/1000000)</f>
        <v>11.024369298866425</v>
      </c>
      <c r="F21" s="41">
        <f>((('VMT Ton-Mile Driver Time'!$C21*'Emissions - Truck'!AO24)+('VMT Ton-Mile Driver Time'!$D21*'Emissions - Truck'!BY24)+('VMT Ton-Mile Driver Time'!$E21*'Emissions - Truck'!BP24))/1000000)</f>
        <v>0.3387795422416639</v>
      </c>
      <c r="G21" s="188">
        <f>((('VMT Ton-Mile Driver Time'!$C21*'Emissions - Truck'!AP24)+('VMT Ton-Mile Driver Time'!$D21*'Emissions - Truck'!BZ24)+('VMT Ton-Mile Driver Time'!$E21*'Emissions - Truck'!BQ24))/1000000)</f>
        <v>1.0293275539643292</v>
      </c>
      <c r="H21" s="42">
        <f>C21*'Monetized Values and Factors'!N61</f>
        <v>54153.880241688217</v>
      </c>
      <c r="I21" s="42">
        <f>D21*'Monetized Values and Factors'!$O$34</f>
        <v>3682146.5686051366</v>
      </c>
      <c r="J21" s="42">
        <f>E21*'Monetized Values and Factors'!$O$35</f>
        <v>4587754.9033045759</v>
      </c>
      <c r="K21" s="42">
        <f>F21*'Monetized Values and Factors'!$O$36</f>
        <v>18247.801056602526</v>
      </c>
      <c r="L21" s="43">
        <f>G21*'Monetized Values and Factors'!$O$33</f>
        <v>2267.608601383417</v>
      </c>
    </row>
    <row r="22" spans="1:12" x14ac:dyDescent="0.25">
      <c r="A22" s="37">
        <v>2032</v>
      </c>
      <c r="B22" s="4">
        <f>('VMT Ton-Mile Driver Time'!G22/'Monetized Values and Factors'!M$24)+('VMT Ton-Mile Driver Time'!G66/'Monetized Values and Factors'!$M$25)</f>
        <v>11513052.915454544</v>
      </c>
      <c r="C22" s="188">
        <f>((('VMT Ton-Mile Driver Time'!$C22*'Emissions - Truck'!AL25)+('VMT Ton-Mile Driver Time'!$D22*'Emissions - Truck'!BV25)+('VMT Ton-Mile Driver Time'!$E22*'Emissions - Truck'!BM25))/1000000)+('VMT Ton-Mile Driver Time'!$G66*'Emissions - Rail'!$C$3/1000000)</f>
        <v>65799.487905179194</v>
      </c>
      <c r="D22" s="188">
        <f>((('VMT Ton-Mile Driver Time'!$C22*'Emissions - Truck'!AM25)+('VMT Ton-Mile Driver Time'!$D22*'Emissions - Truck'!BW25)+('VMT Ton-Mile Driver Time'!$E22*'Emissions - Truck'!BN25))/1000000)+('VMT Ton-Mile Driver Time'!$G66*'Emissions - Rail'!$D$3/1000000)</f>
        <v>487.33400415532782</v>
      </c>
      <c r="E22" s="188">
        <f>((('VMT Ton-Mile Driver Time'!$C22*'Emissions - Truck'!AQ25)+('VMT Ton-Mile Driver Time'!$D22*'Emissions - Truck'!CA25)+('VMT Ton-Mile Driver Time'!$E22*'Emissions - Truck'!BR25))/1000000)+('VMT Ton-Mile Driver Time'!$G66*'Emissions - Rail'!$E$3/1000000)</f>
        <v>13.378370529194669</v>
      </c>
      <c r="F22" s="41">
        <f>((('VMT Ton-Mile Driver Time'!$C22*'Emissions - Truck'!AO25)+('VMT Ton-Mile Driver Time'!$D22*'Emissions - Truck'!BY25)+('VMT Ton-Mile Driver Time'!$E22*'Emissions - Truck'!BP25))/1000000)</f>
        <v>0.41130575342976994</v>
      </c>
      <c r="G22" s="188">
        <f>((('VMT Ton-Mile Driver Time'!$C22*'Emissions - Truck'!AP25)+('VMT Ton-Mile Driver Time'!$D22*'Emissions - Truck'!BZ25)+('VMT Ton-Mile Driver Time'!$E22*'Emissions - Truck'!BQ25))/1000000)</f>
        <v>1.159910498778737</v>
      </c>
      <c r="H22" s="42">
        <f>C22*'Monetized Values and Factors'!N62</f>
        <v>65799.487905179194</v>
      </c>
      <c r="I22" s="42">
        <f>D22*'Monetized Values and Factors'!$O$34</f>
        <v>4455426.7662898758</v>
      </c>
      <c r="J22" s="42">
        <f>E22*'Monetized Values and Factors'!$O$35</f>
        <v>5567364.7471016143</v>
      </c>
      <c r="K22" s="42">
        <f>F22*'Monetized Values and Factors'!$O$36</f>
        <v>22154.305754001398</v>
      </c>
      <c r="L22" s="43">
        <f>G22*'Monetized Values and Factors'!$O$33</f>
        <v>2555.2828288095575</v>
      </c>
    </row>
    <row r="23" spans="1:12" x14ac:dyDescent="0.25">
      <c r="A23" s="37">
        <v>2033</v>
      </c>
      <c r="B23" s="4">
        <f>('VMT Ton-Mile Driver Time'!G23/'Monetized Values and Factors'!M$24)+('VMT Ton-Mile Driver Time'!G67/'Monetized Values and Factors'!$M$25)</f>
        <v>11513052.915454544</v>
      </c>
      <c r="C23" s="188">
        <f>((('VMT Ton-Mile Driver Time'!$C23*'Emissions - Truck'!AL26)+('VMT Ton-Mile Driver Time'!$D23*'Emissions - Truck'!BV26)+('VMT Ton-Mile Driver Time'!$E23*'Emissions - Truck'!BM26))/1000000)+('VMT Ton-Mile Driver Time'!$G67*'Emissions - Rail'!$C$3/1000000)</f>
        <v>65711.934161228332</v>
      </c>
      <c r="D23" s="188">
        <f>((('VMT Ton-Mile Driver Time'!$C23*'Emissions - Truck'!AM26)+('VMT Ton-Mile Driver Time'!$D23*'Emissions - Truck'!BW26)+('VMT Ton-Mile Driver Time'!$E23*'Emissions - Truck'!BN26))/1000000)+('VMT Ton-Mile Driver Time'!$G67*'Emissions - Rail'!$D$3/1000000)</f>
        <v>484.96514170864674</v>
      </c>
      <c r="E23" s="188">
        <f>((('VMT Ton-Mile Driver Time'!$C23*'Emissions - Truck'!AQ26)+('VMT Ton-Mile Driver Time'!$D23*'Emissions - Truck'!CA26)+('VMT Ton-Mile Driver Time'!$E23*'Emissions - Truck'!BR26))/1000000)+('VMT Ton-Mile Driver Time'!$G67*'Emissions - Rail'!$E$3/1000000)</f>
        <v>13.347925865811861</v>
      </c>
      <c r="F23" s="41">
        <f>((('VMT Ton-Mile Driver Time'!$C23*'Emissions - Truck'!AO26)+('VMT Ton-Mile Driver Time'!$D23*'Emissions - Truck'!BY26)+('VMT Ton-Mile Driver Time'!$E23*'Emissions - Truck'!BP26))/1000000)</f>
        <v>0.41043160599514239</v>
      </c>
      <c r="G23" s="188">
        <f>((('VMT Ton-Mile Driver Time'!$C23*'Emissions - Truck'!AP26)+('VMT Ton-Mile Driver Time'!$D23*'Emissions - Truck'!BZ26)+('VMT Ton-Mile Driver Time'!$E23*'Emissions - Truck'!BQ26))/1000000)</f>
        <v>1.0742968038950216</v>
      </c>
      <c r="H23" s="42">
        <f>C23*'Monetized Values and Factors'!N63</f>
        <v>65711.934161228332</v>
      </c>
      <c r="I23" s="42">
        <f>D23*'Monetized Values and Factors'!$O$34</f>
        <v>4433769.5598142166</v>
      </c>
      <c r="J23" s="42">
        <f>E23*'Monetized Values and Factors'!$O$35</f>
        <v>5554695.3009022484</v>
      </c>
      <c r="K23" s="42">
        <f>F23*'Monetized Values and Factors'!$O$36</f>
        <v>22107.221244778451</v>
      </c>
      <c r="L23" s="43">
        <f>G23*'Monetized Values and Factors'!$O$33</f>
        <v>2366.6758589807328</v>
      </c>
    </row>
    <row r="24" spans="1:12" x14ac:dyDescent="0.25">
      <c r="A24" s="37">
        <v>2034</v>
      </c>
      <c r="B24" s="4">
        <f>('VMT Ton-Mile Driver Time'!G24/'Monetized Values and Factors'!M$24)+('VMT Ton-Mile Driver Time'!G68/'Monetized Values and Factors'!$M$25)</f>
        <v>11513052.915454544</v>
      </c>
      <c r="C24" s="188">
        <f>((('VMT Ton-Mile Driver Time'!$C24*'Emissions - Truck'!AL27)+('VMT Ton-Mile Driver Time'!$D24*'Emissions - Truck'!BV27)+('VMT Ton-Mile Driver Time'!$E24*'Emissions - Truck'!BM27))/1000000)+('VMT Ton-Mile Driver Time'!$G68*'Emissions - Rail'!$C$3/1000000)</f>
        <v>65624.559360603904</v>
      </c>
      <c r="D24" s="188">
        <f>((('VMT Ton-Mile Driver Time'!$C24*'Emissions - Truck'!AM27)+('VMT Ton-Mile Driver Time'!$D24*'Emissions - Truck'!BW27)+('VMT Ton-Mile Driver Time'!$E24*'Emissions - Truck'!BN27))/1000000)+('VMT Ton-Mile Driver Time'!$G68*'Emissions - Rail'!$D$3/1000000)</f>
        <v>482.87269926275002</v>
      </c>
      <c r="E24" s="188">
        <f>((('VMT Ton-Mile Driver Time'!$C24*'Emissions - Truck'!AQ27)+('VMT Ton-Mile Driver Time'!$D24*'Emissions - Truck'!CA27)+('VMT Ton-Mile Driver Time'!$E24*'Emissions - Truck'!BR27))/1000000)+('VMT Ton-Mile Driver Time'!$G68*'Emissions - Rail'!$E$3/1000000)</f>
        <v>13.321146011184362</v>
      </c>
      <c r="F24" s="41">
        <f>((('VMT Ton-Mile Driver Time'!$C24*'Emissions - Truck'!AO27)+('VMT Ton-Mile Driver Time'!$D24*'Emissions - Truck'!BY27)+('VMT Ton-Mile Driver Time'!$E24*'Emissions - Truck'!BP27))/1000000)</f>
        <v>0.40955933004886325</v>
      </c>
      <c r="G24" s="188">
        <f>((('VMT Ton-Mile Driver Time'!$C24*'Emissions - Truck'!AP27)+('VMT Ton-Mile Driver Time'!$D24*'Emissions - Truck'!BZ27)+('VMT Ton-Mile Driver Time'!$E24*'Emissions - Truck'!BQ27))/1000000)</f>
        <v>0.99500352912253742</v>
      </c>
      <c r="H24" s="42">
        <f>C24*'Monetized Values and Factors'!N64</f>
        <v>65624.559360603904</v>
      </c>
      <c r="I24" s="42">
        <f>D24*'Monetized Values and Factors'!$O$34</f>
        <v>4414639.5093747284</v>
      </c>
      <c r="J24" s="42">
        <f>E24*'Monetized Values and Factors'!$O$35</f>
        <v>5543550.9527725345</v>
      </c>
      <c r="K24" s="42">
        <f>F24*'Monetized Values and Factors'!$O$36</f>
        <v>22060.237540187438</v>
      </c>
      <c r="L24" s="43">
        <f>G24*'Monetized Values and Factors'!$O$33</f>
        <v>2191.9927746569501</v>
      </c>
    </row>
    <row r="25" spans="1:12" x14ac:dyDescent="0.25">
      <c r="A25" s="37">
        <v>2035</v>
      </c>
      <c r="B25" s="4">
        <f>('VMT Ton-Mile Driver Time'!G25/'Monetized Values and Factors'!M$24)+('VMT Ton-Mile Driver Time'!G69/'Monetized Values and Factors'!$M$25)</f>
        <v>11513052.915454544</v>
      </c>
      <c r="C25" s="188">
        <f>((('VMT Ton-Mile Driver Time'!$C25*'Emissions - Truck'!AL28)+('VMT Ton-Mile Driver Time'!$D25*'Emissions - Truck'!BV28)+('VMT Ton-Mile Driver Time'!$E25*'Emissions - Truck'!BM28))/1000000)+('VMT Ton-Mile Driver Time'!$G69*'Emissions - Rail'!$C$3/1000000)</f>
        <v>65537.363135801323</v>
      </c>
      <c r="D25" s="188">
        <f>((('VMT Ton-Mile Driver Time'!$C25*'Emissions - Truck'!AM28)+('VMT Ton-Mile Driver Time'!$D25*'Emissions - Truck'!BW28)+('VMT Ton-Mile Driver Time'!$E25*'Emissions - Truck'!BN28))/1000000)+('VMT Ton-Mile Driver Time'!$G69*'Emissions - Rail'!$D$3/1000000)</f>
        <v>481.02442048998853</v>
      </c>
      <c r="E25" s="188">
        <f>((('VMT Ton-Mile Driver Time'!$C25*'Emissions - Truck'!AQ28)+('VMT Ton-Mile Driver Time'!$D25*'Emissions - Truck'!CA28)+('VMT Ton-Mile Driver Time'!$E25*'Emissions - Truck'!BR28))/1000000)+('VMT Ton-Mile Driver Time'!$G69*'Emissions - Rail'!$E$3/1000000)</f>
        <v>13.29758905266306</v>
      </c>
      <c r="F25" s="41">
        <f>((('VMT Ton-Mile Driver Time'!$C25*'Emissions - Truck'!AO28)+('VMT Ton-Mile Driver Time'!$D25*'Emissions - Truck'!BY28)+('VMT Ton-Mile Driver Time'!$E25*'Emissions - Truck'!BP28))/1000000)</f>
        <v>0.40868892155841074</v>
      </c>
      <c r="G25" s="188">
        <f>((('VMT Ton-Mile Driver Time'!$C25*'Emissions - Truck'!AP28)+('VMT Ton-Mile Driver Time'!$D25*'Emissions - Truck'!BZ28)+('VMT Ton-Mile Driver Time'!$E25*'Emissions - Truck'!BQ28))/1000000)</f>
        <v>0.9215639802547424</v>
      </c>
      <c r="H25" s="42">
        <f>C25*'Monetized Values and Factors'!N65</f>
        <v>131074.72627160265</v>
      </c>
      <c r="I25" s="42">
        <f>D25*'Monetized Values and Factors'!$O$34</f>
        <v>4397741.7131086951</v>
      </c>
      <c r="J25" s="42">
        <f>E25*'Monetized Values and Factors'!$O$35</f>
        <v>5533747.8022218579</v>
      </c>
      <c r="K25" s="42">
        <f>F25*'Monetized Values and Factors'!$O$36</f>
        <v>22013.354423023222</v>
      </c>
      <c r="L25" s="43">
        <f>G25*'Monetized Values and Factors'!$O$33</f>
        <v>2030.2054485011975</v>
      </c>
    </row>
    <row r="26" spans="1:12" x14ac:dyDescent="0.25">
      <c r="A26" s="37">
        <v>2036</v>
      </c>
      <c r="B26" s="4">
        <f>('VMT Ton-Mile Driver Time'!G26/'Monetized Values and Factors'!M$24)+('VMT Ton-Mile Driver Time'!G70/'Monetized Values and Factors'!$M$25)</f>
        <v>11513052.915454544</v>
      </c>
      <c r="C26" s="188">
        <f>((('VMT Ton-Mile Driver Time'!$C26*'Emissions - Truck'!AL29)+('VMT Ton-Mile Driver Time'!$D26*'Emissions - Truck'!BV29)+('VMT Ton-Mile Driver Time'!$E26*'Emissions - Truck'!BM29))/1000000)+('VMT Ton-Mile Driver Time'!$G70*'Emissions - Rail'!$C$3/1000000)</f>
        <v>65450.345120073995</v>
      </c>
      <c r="D26" s="188">
        <f>((('VMT Ton-Mile Driver Time'!$C26*'Emissions - Truck'!AM29)+('VMT Ton-Mile Driver Time'!$D26*'Emissions - Truck'!BW29)+('VMT Ton-Mile Driver Time'!$E26*'Emissions - Truck'!BN29))/1000000)+('VMT Ton-Mile Driver Time'!$G70*'Emissions - Rail'!$D$3/1000000)</f>
        <v>479.39181329299998</v>
      </c>
      <c r="E26" s="188">
        <f>((('VMT Ton-Mile Driver Time'!$C26*'Emissions - Truck'!AQ29)+('VMT Ton-Mile Driver Time'!$D26*'Emissions - Truck'!CA29)+('VMT Ton-Mile Driver Time'!$E26*'Emissions - Truck'!BR29))/1000000)+('VMT Ton-Mile Driver Time'!$G70*'Emissions - Rail'!$E$3/1000000)</f>
        <v>13.276866459000001</v>
      </c>
      <c r="F26" s="41">
        <f>((('VMT Ton-Mile Driver Time'!$C26*'Emissions - Truck'!AO29)+('VMT Ton-Mile Driver Time'!$D26*'Emissions - Truck'!BY29)+('VMT Ton-Mile Driver Time'!$E26*'Emissions - Truck'!BP29))/1000000)</f>
        <v>0.40782037649999997</v>
      </c>
      <c r="G26" s="188">
        <f>((('VMT Ton-Mile Driver Time'!$C26*'Emissions - Truck'!AP29)+('VMT Ton-Mile Driver Time'!$D26*'Emissions - Truck'!BZ29)+('VMT Ton-Mile Driver Time'!$E26*'Emissions - Truck'!BQ29))/1000000)</f>
        <v>0.8535459299999999</v>
      </c>
      <c r="H26" s="42">
        <f>C26*'Monetized Values and Factors'!N66</f>
        <v>130900.69024014799</v>
      </c>
      <c r="I26" s="42">
        <f>D26*'Monetized Values and Factors'!$O$34</f>
        <v>4382815.6834405875</v>
      </c>
      <c r="J26" s="42">
        <f>E26*'Monetized Values and Factors'!$O$35</f>
        <v>5525124.1632535346</v>
      </c>
      <c r="K26" s="42">
        <f>F26*'Monetized Values and Factors'!$O$36</f>
        <v>21966.571676551273</v>
      </c>
      <c r="L26" s="43">
        <f>G26*'Monetized Values and Factors'!$O$33</f>
        <v>1880.3616837899997</v>
      </c>
    </row>
    <row r="27" spans="1:12" x14ac:dyDescent="0.25">
      <c r="A27" s="37">
        <v>2037</v>
      </c>
      <c r="B27" s="4">
        <f>('VMT Ton-Mile Driver Time'!G27/'Monetized Values and Factors'!M$24)+('VMT Ton-Mile Driver Time'!G71/'Monetized Values and Factors'!$M$25)</f>
        <v>11513052.915454544</v>
      </c>
      <c r="C27" s="188">
        <f>((('VMT Ton-Mile Driver Time'!$C27*'Emissions - Truck'!AL30)+('VMT Ton-Mile Driver Time'!$D27*'Emissions - Truck'!BV30)+('VMT Ton-Mile Driver Time'!$E27*'Emissions - Truck'!BM30))/1000000)+('VMT Ton-Mile Driver Time'!$G71*'Emissions - Rail'!$C$3/1000000)</f>
        <v>65450.345120073995</v>
      </c>
      <c r="D27" s="188">
        <f>((('VMT Ton-Mile Driver Time'!$C27*'Emissions - Truck'!AM30)+('VMT Ton-Mile Driver Time'!$D27*'Emissions - Truck'!BW30)+('VMT Ton-Mile Driver Time'!$E27*'Emissions - Truck'!BN30))/1000000)+('VMT Ton-Mile Driver Time'!$G71*'Emissions - Rail'!$D$3/1000000)</f>
        <v>479.39181329299998</v>
      </c>
      <c r="E27" s="188">
        <f>((('VMT Ton-Mile Driver Time'!$C27*'Emissions - Truck'!AQ30)+('VMT Ton-Mile Driver Time'!$D27*'Emissions - Truck'!CA30)+('VMT Ton-Mile Driver Time'!$E27*'Emissions - Truck'!BR30))/1000000)+('VMT Ton-Mile Driver Time'!$G71*'Emissions - Rail'!$E$3/1000000)</f>
        <v>13.276866459000001</v>
      </c>
      <c r="F27" s="41">
        <f>((('VMT Ton-Mile Driver Time'!$C27*'Emissions - Truck'!AO30)+('VMT Ton-Mile Driver Time'!$D27*'Emissions - Truck'!BY30)+('VMT Ton-Mile Driver Time'!$E27*'Emissions - Truck'!BP30))/1000000)</f>
        <v>0.40782037649999997</v>
      </c>
      <c r="G27" s="188">
        <f>((('VMT Ton-Mile Driver Time'!$C27*'Emissions - Truck'!AP30)+('VMT Ton-Mile Driver Time'!$D27*'Emissions - Truck'!BZ30)+('VMT Ton-Mile Driver Time'!$E27*'Emissions - Truck'!BQ30))/1000000)</f>
        <v>0.8535459299999999</v>
      </c>
      <c r="H27" s="42">
        <f>C27*'Monetized Values and Factors'!N67</f>
        <v>130900.69024014799</v>
      </c>
      <c r="I27" s="42">
        <f>D27*'Monetized Values and Factors'!$O$34</f>
        <v>4382815.6834405875</v>
      </c>
      <c r="J27" s="42">
        <f>E27*'Monetized Values and Factors'!$O$35</f>
        <v>5525124.1632535346</v>
      </c>
      <c r="K27" s="42">
        <f>F27*'Monetized Values and Factors'!$O$36</f>
        <v>21966.571676551273</v>
      </c>
      <c r="L27" s="43">
        <f>G27*'Monetized Values and Factors'!$O$33</f>
        <v>1880.3616837899997</v>
      </c>
    </row>
    <row r="28" spans="1:12" x14ac:dyDescent="0.25">
      <c r="A28" s="37">
        <v>2038</v>
      </c>
      <c r="B28" s="4">
        <f>('VMT Ton-Mile Driver Time'!G28/'Monetized Values and Factors'!M$24)+('VMT Ton-Mile Driver Time'!G72/'Monetized Values and Factors'!$M$25)</f>
        <v>11513052.915454544</v>
      </c>
      <c r="C28" s="188">
        <f>((('VMT Ton-Mile Driver Time'!$C28*'Emissions - Truck'!AL31)+('VMT Ton-Mile Driver Time'!$D28*'Emissions - Truck'!BV31)+('VMT Ton-Mile Driver Time'!$E28*'Emissions - Truck'!BM31))/1000000)+('VMT Ton-Mile Driver Time'!$G72*'Emissions - Rail'!$C$3/1000000)</f>
        <v>65450.345120073995</v>
      </c>
      <c r="D28" s="188">
        <f>((('VMT Ton-Mile Driver Time'!$C28*'Emissions - Truck'!AM31)+('VMT Ton-Mile Driver Time'!$D28*'Emissions - Truck'!BW31)+('VMT Ton-Mile Driver Time'!$E28*'Emissions - Truck'!BN31))/1000000)+('VMT Ton-Mile Driver Time'!$G72*'Emissions - Rail'!$D$3/1000000)</f>
        <v>479.39181329299998</v>
      </c>
      <c r="E28" s="188">
        <f>((('VMT Ton-Mile Driver Time'!$C28*'Emissions - Truck'!AQ31)+('VMT Ton-Mile Driver Time'!$D28*'Emissions - Truck'!CA31)+('VMT Ton-Mile Driver Time'!$E28*'Emissions - Truck'!BR31))/1000000)+('VMT Ton-Mile Driver Time'!$G72*'Emissions - Rail'!$E$3/1000000)</f>
        <v>13.276866459000001</v>
      </c>
      <c r="F28" s="41">
        <f>((('VMT Ton-Mile Driver Time'!$C28*'Emissions - Truck'!AO31)+('VMT Ton-Mile Driver Time'!$D28*'Emissions - Truck'!BY31)+('VMT Ton-Mile Driver Time'!$E28*'Emissions - Truck'!BP31))/1000000)</f>
        <v>0.40782037649999997</v>
      </c>
      <c r="G28" s="188">
        <f>((('VMT Ton-Mile Driver Time'!$C28*'Emissions - Truck'!AP31)+('VMT Ton-Mile Driver Time'!$D28*'Emissions - Truck'!BZ31)+('VMT Ton-Mile Driver Time'!$E28*'Emissions - Truck'!BQ31))/1000000)</f>
        <v>0.8535459299999999</v>
      </c>
      <c r="H28" s="42">
        <f>C28*'Monetized Values and Factors'!N68</f>
        <v>130900.69024014799</v>
      </c>
      <c r="I28" s="42">
        <f>D28*'Monetized Values and Factors'!$O$34</f>
        <v>4382815.6834405875</v>
      </c>
      <c r="J28" s="42">
        <f>E28*'Monetized Values and Factors'!$O$35</f>
        <v>5525124.1632535346</v>
      </c>
      <c r="K28" s="42">
        <f>F28*'Monetized Values and Factors'!$O$36</f>
        <v>21966.571676551273</v>
      </c>
      <c r="L28" s="43">
        <f>G28*'Monetized Values and Factors'!$O$33</f>
        <v>1880.3616837899997</v>
      </c>
    </row>
    <row r="29" spans="1:12" x14ac:dyDescent="0.25">
      <c r="A29" s="37">
        <v>2039</v>
      </c>
      <c r="B29" s="4">
        <f>('VMT Ton-Mile Driver Time'!G29/'Monetized Values and Factors'!M$24)+('VMT Ton-Mile Driver Time'!G73/'Monetized Values and Factors'!$M$25)</f>
        <v>11513052.915454544</v>
      </c>
      <c r="C29" s="188">
        <f>((('VMT Ton-Mile Driver Time'!$C29*'Emissions - Truck'!AL32)+('VMT Ton-Mile Driver Time'!$D29*'Emissions - Truck'!BV32)+('VMT Ton-Mile Driver Time'!$E29*'Emissions - Truck'!BM32))/1000000)+('VMT Ton-Mile Driver Time'!$G73*'Emissions - Rail'!$C$3/1000000)</f>
        <v>65450.345120073995</v>
      </c>
      <c r="D29" s="188">
        <f>((('VMT Ton-Mile Driver Time'!$C29*'Emissions - Truck'!AM32)+('VMT Ton-Mile Driver Time'!$D29*'Emissions - Truck'!BW32)+('VMT Ton-Mile Driver Time'!$E29*'Emissions - Truck'!BN32))/1000000)+('VMT Ton-Mile Driver Time'!$G73*'Emissions - Rail'!$D$3/1000000)</f>
        <v>479.39181329299998</v>
      </c>
      <c r="E29" s="188">
        <f>((('VMT Ton-Mile Driver Time'!$C29*'Emissions - Truck'!AQ32)+('VMT Ton-Mile Driver Time'!$D29*'Emissions - Truck'!CA32)+('VMT Ton-Mile Driver Time'!$E29*'Emissions - Truck'!BR32))/1000000)+('VMT Ton-Mile Driver Time'!$G73*'Emissions - Rail'!$E$3/1000000)</f>
        <v>13.276866459000001</v>
      </c>
      <c r="F29" s="41">
        <f>((('VMT Ton-Mile Driver Time'!$C29*'Emissions - Truck'!AO32)+('VMT Ton-Mile Driver Time'!$D29*'Emissions - Truck'!BY32)+('VMT Ton-Mile Driver Time'!$E29*'Emissions - Truck'!BP32))/1000000)</f>
        <v>0.40782037649999997</v>
      </c>
      <c r="G29" s="188">
        <f>((('VMT Ton-Mile Driver Time'!$C29*'Emissions - Truck'!AP32)+('VMT Ton-Mile Driver Time'!$D29*'Emissions - Truck'!BZ32)+('VMT Ton-Mile Driver Time'!$E29*'Emissions - Truck'!BQ32))/1000000)</f>
        <v>0.8535459299999999</v>
      </c>
      <c r="H29" s="42">
        <f>C29*'Monetized Values and Factors'!N69</f>
        <v>130900.69024014799</v>
      </c>
      <c r="I29" s="42">
        <f>D29*'Monetized Values and Factors'!$O$34</f>
        <v>4382815.6834405875</v>
      </c>
      <c r="J29" s="42">
        <f>E29*'Monetized Values and Factors'!$O$35</f>
        <v>5525124.1632535346</v>
      </c>
      <c r="K29" s="42">
        <f>F29*'Monetized Values and Factors'!$O$36</f>
        <v>21966.571676551273</v>
      </c>
      <c r="L29" s="43">
        <f>G29*'Monetized Values and Factors'!$O$33</f>
        <v>1880.3616837899997</v>
      </c>
    </row>
    <row r="30" spans="1:12" x14ac:dyDescent="0.25">
      <c r="A30" s="37">
        <v>2040</v>
      </c>
      <c r="B30" s="4">
        <f>('VMT Ton-Mile Driver Time'!G30/'Monetized Values and Factors'!M$24)+('VMT Ton-Mile Driver Time'!G74/'Monetized Values and Factors'!$M$25)</f>
        <v>11513052.915454544</v>
      </c>
      <c r="C30" s="188">
        <f>((('VMT Ton-Mile Driver Time'!$C30*'Emissions - Truck'!AL33)+('VMT Ton-Mile Driver Time'!$D30*'Emissions - Truck'!BV33)+('VMT Ton-Mile Driver Time'!$E30*'Emissions - Truck'!BM33))/1000000)+('VMT Ton-Mile Driver Time'!$G74*'Emissions - Rail'!$C$3/1000000)</f>
        <v>65450.345120073995</v>
      </c>
      <c r="D30" s="188">
        <f>((('VMT Ton-Mile Driver Time'!$C30*'Emissions - Truck'!AM33)+('VMT Ton-Mile Driver Time'!$D30*'Emissions - Truck'!BW33)+('VMT Ton-Mile Driver Time'!$E30*'Emissions - Truck'!BN33))/1000000)+('VMT Ton-Mile Driver Time'!$G74*'Emissions - Rail'!$D$3/1000000)</f>
        <v>479.39181329299998</v>
      </c>
      <c r="E30" s="188">
        <f>((('VMT Ton-Mile Driver Time'!$C30*'Emissions - Truck'!AQ33)+('VMT Ton-Mile Driver Time'!$D30*'Emissions - Truck'!CA33)+('VMT Ton-Mile Driver Time'!$E30*'Emissions - Truck'!BR33))/1000000)+('VMT Ton-Mile Driver Time'!$G74*'Emissions - Rail'!$E$3/1000000)</f>
        <v>13.276866459000001</v>
      </c>
      <c r="F30" s="41">
        <f>((('VMT Ton-Mile Driver Time'!$C30*'Emissions - Truck'!AO33)+('VMT Ton-Mile Driver Time'!$D30*'Emissions - Truck'!BY33)+('VMT Ton-Mile Driver Time'!$E30*'Emissions - Truck'!BP33))/1000000)</f>
        <v>0.40782037649999997</v>
      </c>
      <c r="G30" s="188">
        <f>((('VMT Ton-Mile Driver Time'!$C30*'Emissions - Truck'!AP33)+('VMT Ton-Mile Driver Time'!$D30*'Emissions - Truck'!BZ33)+('VMT Ton-Mile Driver Time'!$E30*'Emissions - Truck'!BQ33))/1000000)</f>
        <v>0.8535459299999999</v>
      </c>
      <c r="H30" s="42">
        <f>C30*'Monetized Values and Factors'!N70</f>
        <v>130900.69024014799</v>
      </c>
      <c r="I30" s="42">
        <f>D30*'Monetized Values and Factors'!$O$34</f>
        <v>4382815.6834405875</v>
      </c>
      <c r="J30" s="42">
        <f>E30*'Monetized Values and Factors'!$O$35</f>
        <v>5525124.1632535346</v>
      </c>
      <c r="K30" s="42">
        <f>F30*'Monetized Values and Factors'!$O$36</f>
        <v>21966.571676551273</v>
      </c>
      <c r="L30" s="43">
        <f>G30*'Monetized Values and Factors'!$O$33</f>
        <v>1880.3616837899997</v>
      </c>
    </row>
    <row r="31" spans="1:12" x14ac:dyDescent="0.25">
      <c r="A31" s="37">
        <v>2041</v>
      </c>
      <c r="B31" s="4">
        <f>('VMT Ton-Mile Driver Time'!G31/'Monetized Values and Factors'!M$24)+('VMT Ton-Mile Driver Time'!G75/'Monetized Values and Factors'!$M$25)</f>
        <v>11513052.915454544</v>
      </c>
      <c r="C31" s="188">
        <f>((('VMT Ton-Mile Driver Time'!$C31*'Emissions - Truck'!AL34)+('VMT Ton-Mile Driver Time'!$D31*'Emissions - Truck'!BV34)+('VMT Ton-Mile Driver Time'!$E31*'Emissions - Truck'!BM34))/1000000)+('VMT Ton-Mile Driver Time'!$G75*'Emissions - Rail'!$C$3/1000000)</f>
        <v>65450.345120073995</v>
      </c>
      <c r="D31" s="188">
        <f>((('VMT Ton-Mile Driver Time'!$C31*'Emissions - Truck'!AM34)+('VMT Ton-Mile Driver Time'!$D31*'Emissions - Truck'!BW34)+('VMT Ton-Mile Driver Time'!$E31*'Emissions - Truck'!BN34))/1000000)+('VMT Ton-Mile Driver Time'!$G75*'Emissions - Rail'!$D$3/1000000)</f>
        <v>479.39181329299998</v>
      </c>
      <c r="E31" s="188">
        <f>((('VMT Ton-Mile Driver Time'!$C31*'Emissions - Truck'!AQ34)+('VMT Ton-Mile Driver Time'!$D31*'Emissions - Truck'!CA34)+('VMT Ton-Mile Driver Time'!$E31*'Emissions - Truck'!BR34))/1000000)+('VMT Ton-Mile Driver Time'!$G75*'Emissions - Rail'!$E$3/1000000)</f>
        <v>13.276866459000001</v>
      </c>
      <c r="F31" s="41">
        <f>((('VMT Ton-Mile Driver Time'!$C31*'Emissions - Truck'!AO34)+('VMT Ton-Mile Driver Time'!$D31*'Emissions - Truck'!BY34)+('VMT Ton-Mile Driver Time'!$E31*'Emissions - Truck'!BP34))/1000000)</f>
        <v>0.40782037649999997</v>
      </c>
      <c r="G31" s="188">
        <f>((('VMT Ton-Mile Driver Time'!$C31*'Emissions - Truck'!AP34)+('VMT Ton-Mile Driver Time'!$D31*'Emissions - Truck'!BZ34)+('VMT Ton-Mile Driver Time'!$E31*'Emissions - Truck'!BQ34))/1000000)</f>
        <v>0.8535459299999999</v>
      </c>
      <c r="H31" s="42">
        <f>C31*'Monetized Values and Factors'!N71</f>
        <v>130900.69024014799</v>
      </c>
      <c r="I31" s="42">
        <f>D31*'Monetized Values and Factors'!$O$34</f>
        <v>4382815.6834405875</v>
      </c>
      <c r="J31" s="42">
        <f>E31*'Monetized Values and Factors'!$O$35</f>
        <v>5525124.1632535346</v>
      </c>
      <c r="K31" s="42">
        <f>F31*'Monetized Values and Factors'!$O$36</f>
        <v>21966.571676551273</v>
      </c>
      <c r="L31" s="43">
        <f>G31*'Monetized Values and Factors'!$O$33</f>
        <v>1880.3616837899997</v>
      </c>
    </row>
    <row r="32" spans="1:12" x14ac:dyDescent="0.25">
      <c r="A32" s="37">
        <v>2042</v>
      </c>
      <c r="B32" s="4">
        <f>('VMT Ton-Mile Driver Time'!G32/'Monetized Values and Factors'!M$24)+('VMT Ton-Mile Driver Time'!G76/'Monetized Values and Factors'!$M$25)</f>
        <v>11513052.915454544</v>
      </c>
      <c r="C32" s="188">
        <f>((('VMT Ton-Mile Driver Time'!$C32*'Emissions - Truck'!AL35)+('VMT Ton-Mile Driver Time'!$D32*'Emissions - Truck'!BV35)+('VMT Ton-Mile Driver Time'!$E32*'Emissions - Truck'!BM35))/1000000)+('VMT Ton-Mile Driver Time'!$G76*'Emissions - Rail'!$C$3/1000000)</f>
        <v>65450.345120073995</v>
      </c>
      <c r="D32" s="188">
        <f>((('VMT Ton-Mile Driver Time'!$C32*'Emissions - Truck'!AM35)+('VMT Ton-Mile Driver Time'!$D32*'Emissions - Truck'!BW35)+('VMT Ton-Mile Driver Time'!$E32*'Emissions - Truck'!BN35))/1000000)+('VMT Ton-Mile Driver Time'!$G76*'Emissions - Rail'!$D$3/1000000)</f>
        <v>479.39181329299998</v>
      </c>
      <c r="E32" s="188">
        <f>((('VMT Ton-Mile Driver Time'!$C32*'Emissions - Truck'!AQ35)+('VMT Ton-Mile Driver Time'!$D32*'Emissions - Truck'!CA35)+('VMT Ton-Mile Driver Time'!$E32*'Emissions - Truck'!BR35))/1000000)+('VMT Ton-Mile Driver Time'!$G76*'Emissions - Rail'!$E$3/1000000)</f>
        <v>13.276866459000001</v>
      </c>
      <c r="F32" s="41">
        <f>((('VMT Ton-Mile Driver Time'!$C32*'Emissions - Truck'!AO35)+('VMT Ton-Mile Driver Time'!$D32*'Emissions - Truck'!BY35)+('VMT Ton-Mile Driver Time'!$E32*'Emissions - Truck'!BP35))/1000000)</f>
        <v>0.40782037649999997</v>
      </c>
      <c r="G32" s="188">
        <f>((('VMT Ton-Mile Driver Time'!$C32*'Emissions - Truck'!AP35)+('VMT Ton-Mile Driver Time'!$D32*'Emissions - Truck'!BZ35)+('VMT Ton-Mile Driver Time'!$E32*'Emissions - Truck'!BQ35))/1000000)</f>
        <v>0.8535459299999999</v>
      </c>
      <c r="H32" s="42">
        <f>C32*'Monetized Values and Factors'!N72</f>
        <v>130900.69024014799</v>
      </c>
      <c r="I32" s="42">
        <f>D32*'Monetized Values and Factors'!$O$34</f>
        <v>4382815.6834405875</v>
      </c>
      <c r="J32" s="42">
        <f>E32*'Monetized Values and Factors'!$O$35</f>
        <v>5525124.1632535346</v>
      </c>
      <c r="K32" s="42">
        <f>F32*'Monetized Values and Factors'!$O$36</f>
        <v>21966.571676551273</v>
      </c>
      <c r="L32" s="43">
        <f>G32*'Monetized Values and Factors'!$O$33</f>
        <v>1880.3616837899997</v>
      </c>
    </row>
    <row r="33" spans="1:12" x14ac:dyDescent="0.25">
      <c r="A33" s="37">
        <v>2043</v>
      </c>
      <c r="B33" s="4">
        <f>('VMT Ton-Mile Driver Time'!G33/'Monetized Values and Factors'!M$24)+('VMT Ton-Mile Driver Time'!G77/'Monetized Values and Factors'!$M$25)</f>
        <v>11513052.915454544</v>
      </c>
      <c r="C33" s="188">
        <f>((('VMT Ton-Mile Driver Time'!$C33*'Emissions - Truck'!AL36)+('VMT Ton-Mile Driver Time'!$D33*'Emissions - Truck'!BV36)+('VMT Ton-Mile Driver Time'!$E33*'Emissions - Truck'!BM36))/1000000)+('VMT Ton-Mile Driver Time'!$G77*'Emissions - Rail'!$C$3/1000000)</f>
        <v>65450.345120073995</v>
      </c>
      <c r="D33" s="188">
        <f>((('VMT Ton-Mile Driver Time'!$C33*'Emissions - Truck'!AM36)+('VMT Ton-Mile Driver Time'!$D33*'Emissions - Truck'!BW36)+('VMT Ton-Mile Driver Time'!$E33*'Emissions - Truck'!BN36))/1000000)+('VMT Ton-Mile Driver Time'!$G77*'Emissions - Rail'!$D$3/1000000)</f>
        <v>479.39181329299998</v>
      </c>
      <c r="E33" s="188">
        <f>((('VMT Ton-Mile Driver Time'!$C33*'Emissions - Truck'!AQ36)+('VMT Ton-Mile Driver Time'!$D33*'Emissions - Truck'!CA36)+('VMT Ton-Mile Driver Time'!$E33*'Emissions - Truck'!BR36))/1000000)+('VMT Ton-Mile Driver Time'!$G77*'Emissions - Rail'!$E$3/1000000)</f>
        <v>13.276866459000001</v>
      </c>
      <c r="F33" s="41">
        <f>((('VMT Ton-Mile Driver Time'!$C33*'Emissions - Truck'!AO36)+('VMT Ton-Mile Driver Time'!$D33*'Emissions - Truck'!BY36)+('VMT Ton-Mile Driver Time'!$E33*'Emissions - Truck'!BP36))/1000000)</f>
        <v>0.40782037649999997</v>
      </c>
      <c r="G33" s="188">
        <f>((('VMT Ton-Mile Driver Time'!$C33*'Emissions - Truck'!AP36)+('VMT Ton-Mile Driver Time'!$D33*'Emissions - Truck'!BZ36)+('VMT Ton-Mile Driver Time'!$E33*'Emissions - Truck'!BQ36))/1000000)</f>
        <v>0.8535459299999999</v>
      </c>
      <c r="H33" s="42">
        <f>C33*'Monetized Values and Factors'!N73</f>
        <v>130900.69024014799</v>
      </c>
      <c r="I33" s="42">
        <f>D33*'Monetized Values and Factors'!$O$34</f>
        <v>4382815.6834405875</v>
      </c>
      <c r="J33" s="42">
        <f>E33*'Monetized Values and Factors'!$O$35</f>
        <v>5525124.1632535346</v>
      </c>
      <c r="K33" s="42">
        <f>F33*'Monetized Values and Factors'!$O$36</f>
        <v>21966.571676551273</v>
      </c>
      <c r="L33" s="43">
        <f>G33*'Monetized Values and Factors'!$O$33</f>
        <v>1880.3616837899997</v>
      </c>
    </row>
    <row r="34" spans="1:12" x14ac:dyDescent="0.25">
      <c r="A34" s="37">
        <v>2044</v>
      </c>
      <c r="B34" s="4">
        <f>('VMT Ton-Mile Driver Time'!G34/'Monetized Values and Factors'!M$24)+('VMT Ton-Mile Driver Time'!G78/'Monetized Values and Factors'!$M$25)</f>
        <v>11513052.915454544</v>
      </c>
      <c r="C34" s="188">
        <f>((('VMT Ton-Mile Driver Time'!$C34*'Emissions - Truck'!AL37)+('VMT Ton-Mile Driver Time'!$D34*'Emissions - Truck'!BV37)+('VMT Ton-Mile Driver Time'!$E34*'Emissions - Truck'!BM37))/1000000)+('VMT Ton-Mile Driver Time'!$G78*'Emissions - Rail'!$C$3/1000000)</f>
        <v>65450.345120073995</v>
      </c>
      <c r="D34" s="188">
        <f>((('VMT Ton-Mile Driver Time'!$C34*'Emissions - Truck'!AM37)+('VMT Ton-Mile Driver Time'!$D34*'Emissions - Truck'!BW37)+('VMT Ton-Mile Driver Time'!$E34*'Emissions - Truck'!BN37))/1000000)+('VMT Ton-Mile Driver Time'!$G78*'Emissions - Rail'!$D$3/1000000)</f>
        <v>479.39181329299998</v>
      </c>
      <c r="E34" s="188">
        <f>((('VMT Ton-Mile Driver Time'!$C34*'Emissions - Truck'!AQ37)+('VMT Ton-Mile Driver Time'!$D34*'Emissions - Truck'!CA37)+('VMT Ton-Mile Driver Time'!$E34*'Emissions - Truck'!BR37))/1000000)+('VMT Ton-Mile Driver Time'!$G78*'Emissions - Rail'!$E$3/1000000)</f>
        <v>13.276866459000001</v>
      </c>
      <c r="F34" s="41">
        <f>((('VMT Ton-Mile Driver Time'!$C34*'Emissions - Truck'!AO37)+('VMT Ton-Mile Driver Time'!$D34*'Emissions - Truck'!BY37)+('VMT Ton-Mile Driver Time'!$E34*'Emissions - Truck'!BP37))/1000000)</f>
        <v>0.40782037649999997</v>
      </c>
      <c r="G34" s="188">
        <f>((('VMT Ton-Mile Driver Time'!$C34*'Emissions - Truck'!AP37)+('VMT Ton-Mile Driver Time'!$D34*'Emissions - Truck'!BZ37)+('VMT Ton-Mile Driver Time'!$E34*'Emissions - Truck'!BQ37))/1000000)</f>
        <v>0.8535459299999999</v>
      </c>
      <c r="H34" s="42">
        <f>C34*'Monetized Values and Factors'!N74</f>
        <v>130900.69024014799</v>
      </c>
      <c r="I34" s="42">
        <f>D34*'Monetized Values and Factors'!$O$34</f>
        <v>4382815.6834405875</v>
      </c>
      <c r="J34" s="42">
        <f>E34*'Monetized Values and Factors'!$O$35</f>
        <v>5525124.1632535346</v>
      </c>
      <c r="K34" s="42">
        <f>F34*'Monetized Values and Factors'!$O$36</f>
        <v>21966.571676551273</v>
      </c>
      <c r="L34" s="43">
        <f>G34*'Monetized Values and Factors'!$O$33</f>
        <v>1880.3616837899997</v>
      </c>
    </row>
    <row r="35" spans="1:12" x14ac:dyDescent="0.25">
      <c r="A35" s="37">
        <v>2045</v>
      </c>
      <c r="B35" s="4">
        <f>('VMT Ton-Mile Driver Time'!G35/'Monetized Values and Factors'!M$24)+('VMT Ton-Mile Driver Time'!G79/'Monetized Values and Factors'!$M$25)</f>
        <v>11513052.915454544</v>
      </c>
      <c r="C35" s="188">
        <f>((('VMT Ton-Mile Driver Time'!$C35*'Emissions - Truck'!AL38)+('VMT Ton-Mile Driver Time'!$D35*'Emissions - Truck'!BV38)+('VMT Ton-Mile Driver Time'!$E35*'Emissions - Truck'!BM38))/1000000)+('VMT Ton-Mile Driver Time'!$G79*'Emissions - Rail'!$C$3/1000000)</f>
        <v>65450.345120073995</v>
      </c>
      <c r="D35" s="188">
        <f>((('VMT Ton-Mile Driver Time'!$C35*'Emissions - Truck'!AM38)+('VMT Ton-Mile Driver Time'!$D35*'Emissions - Truck'!BW38)+('VMT Ton-Mile Driver Time'!$E35*'Emissions - Truck'!BN38))/1000000)+('VMT Ton-Mile Driver Time'!$G79*'Emissions - Rail'!$D$3/1000000)</f>
        <v>479.39181329299998</v>
      </c>
      <c r="E35" s="188">
        <f>((('VMT Ton-Mile Driver Time'!$C35*'Emissions - Truck'!AQ38)+('VMT Ton-Mile Driver Time'!$D35*'Emissions - Truck'!CA38)+('VMT Ton-Mile Driver Time'!$E35*'Emissions - Truck'!BR38))/1000000)+('VMT Ton-Mile Driver Time'!$G79*'Emissions - Rail'!$E$3/1000000)</f>
        <v>13.276866459000001</v>
      </c>
      <c r="F35" s="41">
        <f>((('VMT Ton-Mile Driver Time'!$C35*'Emissions - Truck'!AO38)+('VMT Ton-Mile Driver Time'!$D35*'Emissions - Truck'!BY38)+('VMT Ton-Mile Driver Time'!$E35*'Emissions - Truck'!BP38))/1000000)</f>
        <v>0.40782037649999997</v>
      </c>
      <c r="G35" s="188">
        <f>((('VMT Ton-Mile Driver Time'!$C35*'Emissions - Truck'!AP38)+('VMT Ton-Mile Driver Time'!$D35*'Emissions - Truck'!BZ38)+('VMT Ton-Mile Driver Time'!$E35*'Emissions - Truck'!BQ38))/1000000)</f>
        <v>0.8535459299999999</v>
      </c>
      <c r="H35" s="42">
        <f>C35*'Monetized Values and Factors'!N75</f>
        <v>130900.69024014799</v>
      </c>
      <c r="I35" s="42">
        <f>D35*'Monetized Values and Factors'!$O$34</f>
        <v>4382815.6834405875</v>
      </c>
      <c r="J35" s="42">
        <f>E35*'Monetized Values and Factors'!$O$35</f>
        <v>5525124.1632535346</v>
      </c>
      <c r="K35" s="42">
        <f>F35*'Monetized Values and Factors'!$O$36</f>
        <v>21966.571676551273</v>
      </c>
      <c r="L35" s="43">
        <f>G35*'Monetized Values and Factors'!$O$33</f>
        <v>1880.3616837899997</v>
      </c>
    </row>
    <row r="36" spans="1:12" x14ac:dyDescent="0.25">
      <c r="A36" s="37">
        <v>2046</v>
      </c>
      <c r="B36" s="4">
        <f>('VMT Ton-Mile Driver Time'!G36/'Monetized Values and Factors'!M$24)+('VMT Ton-Mile Driver Time'!G80/'Monetized Values and Factors'!$M$25)</f>
        <v>11513052.915454544</v>
      </c>
      <c r="C36" s="188">
        <f>((('VMT Ton-Mile Driver Time'!$C36*'Emissions - Truck'!AL39)+('VMT Ton-Mile Driver Time'!$D36*'Emissions - Truck'!BV39)+('VMT Ton-Mile Driver Time'!$E36*'Emissions - Truck'!BM39))/1000000)+('VMT Ton-Mile Driver Time'!$G80*'Emissions - Rail'!$C$3/1000000)</f>
        <v>65450.345120073995</v>
      </c>
      <c r="D36" s="188">
        <f>((('VMT Ton-Mile Driver Time'!$C36*'Emissions - Truck'!AM39)+('VMT Ton-Mile Driver Time'!$D36*'Emissions - Truck'!BW39)+('VMT Ton-Mile Driver Time'!$E36*'Emissions - Truck'!BN39))/1000000)+('VMT Ton-Mile Driver Time'!$G80*'Emissions - Rail'!$D$3/1000000)</f>
        <v>479.39181329299998</v>
      </c>
      <c r="E36" s="188">
        <f>((('VMT Ton-Mile Driver Time'!$C36*'Emissions - Truck'!AQ39)+('VMT Ton-Mile Driver Time'!$D36*'Emissions - Truck'!CA39)+('VMT Ton-Mile Driver Time'!$E36*'Emissions - Truck'!BR39))/1000000)+('VMT Ton-Mile Driver Time'!$G80*'Emissions - Rail'!$E$3/1000000)</f>
        <v>13.276866459000001</v>
      </c>
      <c r="F36" s="41">
        <f>((('VMT Ton-Mile Driver Time'!$C36*'Emissions - Truck'!AO39)+('VMT Ton-Mile Driver Time'!$D36*'Emissions - Truck'!BY39)+('VMT Ton-Mile Driver Time'!$E36*'Emissions - Truck'!BP39))/1000000)</f>
        <v>0.40782037649999997</v>
      </c>
      <c r="G36" s="188">
        <f>((('VMT Ton-Mile Driver Time'!$C36*'Emissions - Truck'!AP39)+('VMT Ton-Mile Driver Time'!$D36*'Emissions - Truck'!BZ39)+('VMT Ton-Mile Driver Time'!$E36*'Emissions - Truck'!BQ39))/1000000)</f>
        <v>0.8535459299999999</v>
      </c>
      <c r="H36" s="42">
        <f>C36*'Monetized Values and Factors'!N76</f>
        <v>130900.69024014799</v>
      </c>
      <c r="I36" s="42">
        <f>D36*'Monetized Values and Factors'!$O$34</f>
        <v>4382815.6834405875</v>
      </c>
      <c r="J36" s="42">
        <f>E36*'Monetized Values and Factors'!$O$35</f>
        <v>5525124.1632535346</v>
      </c>
      <c r="K36" s="42">
        <f>F36*'Monetized Values and Factors'!$O$36</f>
        <v>21966.571676551273</v>
      </c>
      <c r="L36" s="43">
        <f>G36*'Monetized Values and Factors'!$O$33</f>
        <v>1880.3616837899997</v>
      </c>
    </row>
    <row r="37" spans="1:12" x14ac:dyDescent="0.25">
      <c r="A37" s="37">
        <v>2047</v>
      </c>
      <c r="B37" s="4">
        <f>('VMT Ton-Mile Driver Time'!G37/'Monetized Values and Factors'!M$24)+('VMT Ton-Mile Driver Time'!G81/'Monetized Values and Factors'!$M$25)</f>
        <v>11513052.915454544</v>
      </c>
      <c r="C37" s="188">
        <f>((('VMT Ton-Mile Driver Time'!$C37*'Emissions - Truck'!AL40)+('VMT Ton-Mile Driver Time'!$D37*'Emissions - Truck'!BV40)+('VMT Ton-Mile Driver Time'!$E37*'Emissions - Truck'!BM40))/1000000)+('VMT Ton-Mile Driver Time'!$G81*'Emissions - Rail'!$C$3/1000000)</f>
        <v>65450.345120073995</v>
      </c>
      <c r="D37" s="188">
        <f>((('VMT Ton-Mile Driver Time'!$C37*'Emissions - Truck'!AM40)+('VMT Ton-Mile Driver Time'!$D37*'Emissions - Truck'!BW40)+('VMT Ton-Mile Driver Time'!$E37*'Emissions - Truck'!BN40))/1000000)+('VMT Ton-Mile Driver Time'!$G81*'Emissions - Rail'!$D$3/1000000)</f>
        <v>479.39181329299998</v>
      </c>
      <c r="E37" s="188">
        <f>((('VMT Ton-Mile Driver Time'!$C37*'Emissions - Truck'!AQ40)+('VMT Ton-Mile Driver Time'!$D37*'Emissions - Truck'!CA40)+('VMT Ton-Mile Driver Time'!$E37*'Emissions - Truck'!BR40))/1000000)+('VMT Ton-Mile Driver Time'!$G81*'Emissions - Rail'!$E$3/1000000)</f>
        <v>13.276866459000001</v>
      </c>
      <c r="F37" s="41">
        <f>((('VMT Ton-Mile Driver Time'!$C37*'Emissions - Truck'!AO40)+('VMT Ton-Mile Driver Time'!$D37*'Emissions - Truck'!BY40)+('VMT Ton-Mile Driver Time'!$E37*'Emissions - Truck'!BP40))/1000000)</f>
        <v>0.40782037649999997</v>
      </c>
      <c r="G37" s="188">
        <f>((('VMT Ton-Mile Driver Time'!$C37*'Emissions - Truck'!AP40)+('VMT Ton-Mile Driver Time'!$D37*'Emissions - Truck'!BZ40)+('VMT Ton-Mile Driver Time'!$E37*'Emissions - Truck'!BQ40))/1000000)</f>
        <v>0.8535459299999999</v>
      </c>
      <c r="H37" s="42">
        <f>C37*'Monetized Values and Factors'!N77</f>
        <v>130900.69024014799</v>
      </c>
      <c r="I37" s="42">
        <f>D37*'Monetized Values and Factors'!$O$34</f>
        <v>4382815.6834405875</v>
      </c>
      <c r="J37" s="42">
        <f>E37*'Monetized Values and Factors'!$O$35</f>
        <v>5525124.1632535346</v>
      </c>
      <c r="K37" s="42">
        <f>F37*'Monetized Values and Factors'!$O$36</f>
        <v>21966.571676551273</v>
      </c>
      <c r="L37" s="43">
        <f>G37*'Monetized Values and Factors'!$O$33</f>
        <v>1880.3616837899997</v>
      </c>
    </row>
    <row r="38" spans="1:12" x14ac:dyDescent="0.25">
      <c r="A38" s="37">
        <v>2048</v>
      </c>
      <c r="B38" s="4">
        <f>('VMT Ton-Mile Driver Time'!G38/'Monetized Values and Factors'!M$24)+('VMT Ton-Mile Driver Time'!G82/'Monetized Values and Factors'!$M$25)</f>
        <v>11513052.915454544</v>
      </c>
      <c r="C38" s="188">
        <f>((('VMT Ton-Mile Driver Time'!$C38*'Emissions - Truck'!AL41)+('VMT Ton-Mile Driver Time'!$D38*'Emissions - Truck'!BV41)+('VMT Ton-Mile Driver Time'!$E38*'Emissions - Truck'!BM41))/1000000)+('VMT Ton-Mile Driver Time'!$G82*'Emissions - Rail'!$C$3/1000000)</f>
        <v>65450.345120073995</v>
      </c>
      <c r="D38" s="188">
        <f>((('VMT Ton-Mile Driver Time'!$C38*'Emissions - Truck'!AM41)+('VMT Ton-Mile Driver Time'!$D38*'Emissions - Truck'!BW41)+('VMT Ton-Mile Driver Time'!$E38*'Emissions - Truck'!BN41))/1000000)+('VMT Ton-Mile Driver Time'!$G82*'Emissions - Rail'!$D$3/1000000)</f>
        <v>479.39181329299998</v>
      </c>
      <c r="E38" s="188">
        <f>((('VMT Ton-Mile Driver Time'!$C38*'Emissions - Truck'!AQ41)+('VMT Ton-Mile Driver Time'!$D38*'Emissions - Truck'!CA41)+('VMT Ton-Mile Driver Time'!$E38*'Emissions - Truck'!BR41))/1000000)+('VMT Ton-Mile Driver Time'!$G82*'Emissions - Rail'!$E$3/1000000)</f>
        <v>13.276866459000001</v>
      </c>
      <c r="F38" s="41">
        <f>((('VMT Ton-Mile Driver Time'!$C38*'Emissions - Truck'!AO41)+('VMT Ton-Mile Driver Time'!$D38*'Emissions - Truck'!BY41)+('VMT Ton-Mile Driver Time'!$E38*'Emissions - Truck'!BP41))/1000000)</f>
        <v>0.40782037649999997</v>
      </c>
      <c r="G38" s="188">
        <f>((('VMT Ton-Mile Driver Time'!$C38*'Emissions - Truck'!AP41)+('VMT Ton-Mile Driver Time'!$D38*'Emissions - Truck'!BZ41)+('VMT Ton-Mile Driver Time'!$E38*'Emissions - Truck'!BQ41))/1000000)</f>
        <v>0.8535459299999999</v>
      </c>
      <c r="H38" s="42">
        <f>C38*'Monetized Values and Factors'!N78</f>
        <v>130900.69024014799</v>
      </c>
      <c r="I38" s="42">
        <f>D38*'Monetized Values and Factors'!$O$34</f>
        <v>4382815.6834405875</v>
      </c>
      <c r="J38" s="42">
        <f>E38*'Monetized Values and Factors'!$O$35</f>
        <v>5525124.1632535346</v>
      </c>
      <c r="K38" s="42">
        <f>F38*'Monetized Values and Factors'!$O$36</f>
        <v>21966.571676551273</v>
      </c>
      <c r="L38" s="43">
        <f>G38*'Monetized Values and Factors'!$O$33</f>
        <v>1880.3616837899997</v>
      </c>
    </row>
    <row r="39" spans="1:12" x14ac:dyDescent="0.25">
      <c r="A39" s="37">
        <v>2049</v>
      </c>
      <c r="B39" s="4">
        <f>('VMT Ton-Mile Driver Time'!G39/'Monetized Values and Factors'!M$24)+('VMT Ton-Mile Driver Time'!G83/'Monetized Values and Factors'!$M$25)</f>
        <v>11513052.915454544</v>
      </c>
      <c r="C39" s="188">
        <f>((('VMT Ton-Mile Driver Time'!$C39*'Emissions - Truck'!AL42)+('VMT Ton-Mile Driver Time'!$D39*'Emissions - Truck'!BV42)+('VMT Ton-Mile Driver Time'!$E39*'Emissions - Truck'!BM42))/1000000)+('VMT Ton-Mile Driver Time'!$G83*'Emissions - Rail'!$C$3/1000000)</f>
        <v>65450.345120073995</v>
      </c>
      <c r="D39" s="188">
        <f>((('VMT Ton-Mile Driver Time'!$C39*'Emissions - Truck'!AM42)+('VMT Ton-Mile Driver Time'!$D39*'Emissions - Truck'!BW42)+('VMT Ton-Mile Driver Time'!$E39*'Emissions - Truck'!BN42))/1000000)+('VMT Ton-Mile Driver Time'!$G83*'Emissions - Rail'!$D$3/1000000)</f>
        <v>479.39181329299998</v>
      </c>
      <c r="E39" s="188">
        <f>((('VMT Ton-Mile Driver Time'!$C39*'Emissions - Truck'!AQ42)+('VMT Ton-Mile Driver Time'!$D39*'Emissions - Truck'!CA42)+('VMT Ton-Mile Driver Time'!$E39*'Emissions - Truck'!BR42))/1000000)+('VMT Ton-Mile Driver Time'!$G83*'Emissions - Rail'!$E$3/1000000)</f>
        <v>13.276866459000001</v>
      </c>
      <c r="F39" s="41">
        <f>((('VMT Ton-Mile Driver Time'!$C39*'Emissions - Truck'!AO42)+('VMT Ton-Mile Driver Time'!$D39*'Emissions - Truck'!BY42)+('VMT Ton-Mile Driver Time'!$E39*'Emissions - Truck'!BP42))/1000000)</f>
        <v>0.40782037649999997</v>
      </c>
      <c r="G39" s="188">
        <f>((('VMT Ton-Mile Driver Time'!$C39*'Emissions - Truck'!AP42)+('VMT Ton-Mile Driver Time'!$D39*'Emissions - Truck'!BZ42)+('VMT Ton-Mile Driver Time'!$E39*'Emissions - Truck'!BQ42))/1000000)</f>
        <v>0.8535459299999999</v>
      </c>
      <c r="H39" s="42">
        <f>C39*'Monetized Values and Factors'!N79</f>
        <v>130900.69024014799</v>
      </c>
      <c r="I39" s="42">
        <f>D39*'Monetized Values and Factors'!$O$34</f>
        <v>4382815.6834405875</v>
      </c>
      <c r="J39" s="42">
        <f>E39*'Monetized Values and Factors'!$O$35</f>
        <v>5525124.1632535346</v>
      </c>
      <c r="K39" s="42">
        <f>F39*'Monetized Values and Factors'!$O$36</f>
        <v>21966.571676551273</v>
      </c>
      <c r="L39" s="43">
        <f>G39*'Monetized Values and Factors'!$O$33</f>
        <v>1880.3616837899997</v>
      </c>
    </row>
    <row r="40" spans="1:12" x14ac:dyDescent="0.25">
      <c r="A40" s="37">
        <v>2050</v>
      </c>
      <c r="B40" s="4">
        <f>('VMT Ton-Mile Driver Time'!G40/'Monetized Values and Factors'!M$24)+('VMT Ton-Mile Driver Time'!G84/'Monetized Values and Factors'!$M$25)</f>
        <v>11513052.915454544</v>
      </c>
      <c r="C40" s="188">
        <f>((('VMT Ton-Mile Driver Time'!$C40*'Emissions - Truck'!AL43)+('VMT Ton-Mile Driver Time'!$D40*'Emissions - Truck'!BV43)+('VMT Ton-Mile Driver Time'!$E40*'Emissions - Truck'!BM43))/1000000)+('VMT Ton-Mile Driver Time'!$G84*'Emissions - Rail'!$C$3/1000000)</f>
        <v>65450.345120073995</v>
      </c>
      <c r="D40" s="188">
        <f>((('VMT Ton-Mile Driver Time'!$C40*'Emissions - Truck'!AM43)+('VMT Ton-Mile Driver Time'!$D40*'Emissions - Truck'!BW43)+('VMT Ton-Mile Driver Time'!$E40*'Emissions - Truck'!BN43))/1000000)+('VMT Ton-Mile Driver Time'!$G84*'Emissions - Rail'!$D$3/1000000)</f>
        <v>479.39181329299998</v>
      </c>
      <c r="E40" s="188">
        <f>((('VMT Ton-Mile Driver Time'!$C40*'Emissions - Truck'!AQ43)+('VMT Ton-Mile Driver Time'!$D40*'Emissions - Truck'!CA43)+('VMT Ton-Mile Driver Time'!$E40*'Emissions - Truck'!BR43))/1000000)+('VMT Ton-Mile Driver Time'!$G84*'Emissions - Rail'!$E$3/1000000)</f>
        <v>13.276866459000001</v>
      </c>
      <c r="F40" s="41">
        <f>((('VMT Ton-Mile Driver Time'!$C40*'Emissions - Truck'!AO43)+('VMT Ton-Mile Driver Time'!$D40*'Emissions - Truck'!BY43)+('VMT Ton-Mile Driver Time'!$E40*'Emissions - Truck'!BP43))/1000000)</f>
        <v>0.40782037649999997</v>
      </c>
      <c r="G40" s="188">
        <f>((('VMT Ton-Mile Driver Time'!$C40*'Emissions - Truck'!AP43)+('VMT Ton-Mile Driver Time'!$D40*'Emissions - Truck'!BZ43)+('VMT Ton-Mile Driver Time'!$E40*'Emissions - Truck'!BQ43))/1000000)</f>
        <v>0.8535459299999999</v>
      </c>
      <c r="H40" s="42">
        <f>C40*'Monetized Values and Factors'!$N$80</f>
        <v>130900.69024014799</v>
      </c>
      <c r="I40" s="42">
        <f>D40*'Monetized Values and Factors'!$O$34</f>
        <v>4382815.6834405875</v>
      </c>
      <c r="J40" s="42">
        <f>E40*'Monetized Values and Factors'!$O$35</f>
        <v>5525124.1632535346</v>
      </c>
      <c r="K40" s="42">
        <f>F40*'Monetized Values and Factors'!$O$36</f>
        <v>21966.571676551273</v>
      </c>
      <c r="L40" s="43">
        <f>G40*'Monetized Values and Factors'!$O$33</f>
        <v>1880.3616837899997</v>
      </c>
    </row>
    <row r="41" spans="1:12" x14ac:dyDescent="0.25">
      <c r="A41" s="37">
        <v>2051</v>
      </c>
      <c r="B41" s="4">
        <f>('VMT Ton-Mile Driver Time'!G41/'Monetized Values and Factors'!M$24)+('VMT Ton-Mile Driver Time'!G85/'Monetized Values and Factors'!$M$25)</f>
        <v>11513052.915454544</v>
      </c>
      <c r="C41" s="188">
        <f>((('VMT Ton-Mile Driver Time'!$C41*'Emissions - Truck'!AL44)+('VMT Ton-Mile Driver Time'!$D41*'Emissions - Truck'!BV44)+('VMT Ton-Mile Driver Time'!$E41*'Emissions - Truck'!BM44))/1000000)+('VMT Ton-Mile Driver Time'!$G85*'Emissions - Rail'!$C$3/1000000)</f>
        <v>65450.345120073995</v>
      </c>
      <c r="D41" s="188">
        <f>((('VMT Ton-Mile Driver Time'!$C41*'Emissions - Truck'!AM44)+('VMT Ton-Mile Driver Time'!$D41*'Emissions - Truck'!BW44)+('VMT Ton-Mile Driver Time'!$E41*'Emissions - Truck'!BN44))/1000000)+('VMT Ton-Mile Driver Time'!$G85*'Emissions - Rail'!$D$3/1000000)</f>
        <v>479.39181329299998</v>
      </c>
      <c r="E41" s="188">
        <f>((('VMT Ton-Mile Driver Time'!$C41*'Emissions - Truck'!AQ44)+('VMT Ton-Mile Driver Time'!$D41*'Emissions - Truck'!CA44)+('VMT Ton-Mile Driver Time'!$E41*'Emissions - Truck'!BR44))/1000000)+('VMT Ton-Mile Driver Time'!$G85*'Emissions - Rail'!$E$3/1000000)</f>
        <v>13.276866459000001</v>
      </c>
      <c r="F41" s="41">
        <f>((('VMT Ton-Mile Driver Time'!$C41*'Emissions - Truck'!AO44)+('VMT Ton-Mile Driver Time'!$D41*'Emissions - Truck'!BY44)+('VMT Ton-Mile Driver Time'!$E41*'Emissions - Truck'!BP44))/1000000)</f>
        <v>0.40782037649999997</v>
      </c>
      <c r="G41" s="188">
        <f>((('VMT Ton-Mile Driver Time'!$C41*'Emissions - Truck'!AP44)+('VMT Ton-Mile Driver Time'!$D41*'Emissions - Truck'!BZ44)+('VMT Ton-Mile Driver Time'!$E41*'Emissions - Truck'!BQ44))/1000000)</f>
        <v>0.8535459299999999</v>
      </c>
      <c r="H41" s="42">
        <f>C41*'Monetized Values and Factors'!$N$80</f>
        <v>130900.69024014799</v>
      </c>
      <c r="I41" s="42">
        <f>D41*'Monetized Values and Factors'!$O$34</f>
        <v>4382815.6834405875</v>
      </c>
      <c r="J41" s="42">
        <f>E41*'Monetized Values and Factors'!$O$35</f>
        <v>5525124.1632535346</v>
      </c>
      <c r="K41" s="42">
        <f>F41*'Monetized Values and Factors'!$O$36</f>
        <v>21966.571676551273</v>
      </c>
      <c r="L41" s="43">
        <f>G41*'Monetized Values and Factors'!$O$33</f>
        <v>1880.3616837899997</v>
      </c>
    </row>
    <row r="42" spans="1:12" x14ac:dyDescent="0.25">
      <c r="A42" s="37">
        <v>2052</v>
      </c>
      <c r="B42" s="4">
        <f>('VMT Ton-Mile Driver Time'!G42/'Monetized Values and Factors'!M$24)+('VMT Ton-Mile Driver Time'!G86/'Monetized Values and Factors'!$M$25)</f>
        <v>11513052.915454544</v>
      </c>
      <c r="C42" s="188">
        <f>((('VMT Ton-Mile Driver Time'!$C42*'Emissions - Truck'!AL45)+('VMT Ton-Mile Driver Time'!$D42*'Emissions - Truck'!BV45)+('VMT Ton-Mile Driver Time'!$E42*'Emissions - Truck'!BM45))/1000000)+('VMT Ton-Mile Driver Time'!$G86*'Emissions - Rail'!$C$3/1000000)</f>
        <v>65450.345120073995</v>
      </c>
      <c r="D42" s="188">
        <f>((('VMT Ton-Mile Driver Time'!$C42*'Emissions - Truck'!AM45)+('VMT Ton-Mile Driver Time'!$D42*'Emissions - Truck'!BW45)+('VMT Ton-Mile Driver Time'!$E42*'Emissions - Truck'!BN45))/1000000)+('VMT Ton-Mile Driver Time'!$G86*'Emissions - Rail'!$D$3/1000000)</f>
        <v>479.39181329299998</v>
      </c>
      <c r="E42" s="188">
        <f>((('VMT Ton-Mile Driver Time'!$C42*'Emissions - Truck'!AQ45)+('VMT Ton-Mile Driver Time'!$D42*'Emissions - Truck'!CA45)+('VMT Ton-Mile Driver Time'!$E42*'Emissions - Truck'!BR45))/1000000)+('VMT Ton-Mile Driver Time'!$G86*'Emissions - Rail'!$E$3/1000000)</f>
        <v>13.276866459000001</v>
      </c>
      <c r="F42" s="41">
        <f>((('VMT Ton-Mile Driver Time'!$C42*'Emissions - Truck'!AO45)+('VMT Ton-Mile Driver Time'!$D42*'Emissions - Truck'!BY45)+('VMT Ton-Mile Driver Time'!$E42*'Emissions - Truck'!BP45))/1000000)</f>
        <v>0.40782037649999997</v>
      </c>
      <c r="G42" s="188">
        <f>((('VMT Ton-Mile Driver Time'!$C42*'Emissions - Truck'!AP45)+('VMT Ton-Mile Driver Time'!$D42*'Emissions - Truck'!BZ45)+('VMT Ton-Mile Driver Time'!$E42*'Emissions - Truck'!BQ45))/1000000)</f>
        <v>0.8535459299999999</v>
      </c>
      <c r="H42" s="42">
        <f>C42*'Monetized Values and Factors'!$N$80</f>
        <v>130900.69024014799</v>
      </c>
      <c r="I42" s="42">
        <f>D42*'Monetized Values and Factors'!$O$34</f>
        <v>4382815.6834405875</v>
      </c>
      <c r="J42" s="42">
        <f>E42*'Monetized Values and Factors'!$O$35</f>
        <v>5525124.1632535346</v>
      </c>
      <c r="K42" s="42">
        <f>F42*'Monetized Values and Factors'!$O$36</f>
        <v>21966.571676551273</v>
      </c>
      <c r="L42" s="43">
        <f>G42*'Monetized Values and Factors'!$O$33</f>
        <v>1880.3616837899997</v>
      </c>
    </row>
    <row r="43" spans="1:12" ht="15.75" thickBot="1" x14ac:dyDescent="0.3">
      <c r="A43" s="44" t="s">
        <v>1</v>
      </c>
      <c r="B43" s="45">
        <f>SUM(B4:B42)</f>
        <v>281990939.9018181</v>
      </c>
      <c r="C43" s="45">
        <f t="shared" ref="C43:G43" si="0">SUM(C4:C42)</f>
        <v>1606232.4672517248</v>
      </c>
      <c r="D43" s="45">
        <f t="shared" si="0"/>
        <v>11830.16180518657</v>
      </c>
      <c r="E43" s="45">
        <f t="shared" si="0"/>
        <v>326.33179303751552</v>
      </c>
      <c r="F43" s="45">
        <f t="shared" si="0"/>
        <v>10.020228517434989</v>
      </c>
      <c r="G43" s="45">
        <f t="shared" si="0"/>
        <v>24.010058784748843</v>
      </c>
      <c r="H43" s="192">
        <f>SUM(H4:H42)</f>
        <v>2784425.6974287839</v>
      </c>
      <c r="I43" s="192">
        <f t="shared" ref="I43:K43" si="1">SUM(I4:I42)</f>
        <v>108156662.79582793</v>
      </c>
      <c r="J43" s="192">
        <f t="shared" si="1"/>
        <v>135801898.77764499</v>
      </c>
      <c r="K43" s="192">
        <f t="shared" si="1"/>
        <v>539723.07571458141</v>
      </c>
      <c r="L43" s="193">
        <f>SUM(L4:L42)</f>
        <v>52894.159502801704</v>
      </c>
    </row>
    <row r="44" spans="1:12" ht="15.75" thickBot="1" x14ac:dyDescent="0.3"/>
    <row r="45" spans="1:12" ht="19.5" thickBot="1" x14ac:dyDescent="0.35">
      <c r="A45" s="482" t="s">
        <v>110</v>
      </c>
      <c r="B45" s="483"/>
      <c r="C45" s="483"/>
      <c r="D45" s="483"/>
      <c r="E45" s="483"/>
      <c r="F45" s="483"/>
      <c r="G45" s="483"/>
      <c r="H45" s="483"/>
      <c r="I45" s="483"/>
      <c r="J45" s="483"/>
      <c r="K45" s="483"/>
      <c r="L45" s="484"/>
    </row>
    <row r="46" spans="1:12" ht="45" x14ac:dyDescent="0.25">
      <c r="A46" s="19" t="s">
        <v>2</v>
      </c>
      <c r="B46" s="157" t="s">
        <v>252</v>
      </c>
      <c r="C46" s="157" t="s">
        <v>268</v>
      </c>
      <c r="D46" s="157" t="s">
        <v>253</v>
      </c>
      <c r="E46" s="157" t="s">
        <v>370</v>
      </c>
      <c r="F46" s="157" t="s">
        <v>254</v>
      </c>
      <c r="G46" s="157" t="s">
        <v>255</v>
      </c>
      <c r="H46" s="157" t="s">
        <v>347</v>
      </c>
      <c r="I46" s="157" t="s">
        <v>348</v>
      </c>
      <c r="J46" s="157" t="s">
        <v>371</v>
      </c>
      <c r="K46" s="157" t="s">
        <v>349</v>
      </c>
      <c r="L46" s="158" t="s">
        <v>350</v>
      </c>
    </row>
    <row r="47" spans="1:12" x14ac:dyDescent="0.25">
      <c r="A47" s="37">
        <v>2014</v>
      </c>
      <c r="B47" s="4"/>
      <c r="C47" s="188"/>
      <c r="D47" s="188"/>
      <c r="E47" s="188"/>
      <c r="F47" s="41"/>
      <c r="G47" s="188"/>
      <c r="H47" s="42"/>
      <c r="I47" s="42"/>
      <c r="J47" s="42"/>
      <c r="K47" s="42"/>
      <c r="L47" s="43"/>
    </row>
    <row r="48" spans="1:12" x14ac:dyDescent="0.25">
      <c r="A48" s="37">
        <v>2015</v>
      </c>
      <c r="B48" s="4"/>
      <c r="C48" s="188"/>
      <c r="D48" s="188"/>
      <c r="E48" s="188"/>
      <c r="F48" s="41"/>
      <c r="G48" s="188"/>
      <c r="H48" s="42"/>
      <c r="I48" s="42"/>
      <c r="J48" s="42"/>
      <c r="K48" s="42"/>
      <c r="L48" s="43"/>
    </row>
    <row r="49" spans="1:12" x14ac:dyDescent="0.25">
      <c r="A49" s="37">
        <v>2016</v>
      </c>
      <c r="B49" s="4">
        <f>('VMT Ton-Mile Driver Time'!N6/'Monetized Values and Factors'!M$24)+('VMT Ton-Mile Driver Time'!N50/'Monetized Values and Factors'!$M$25)</f>
        <v>0</v>
      </c>
      <c r="C49" s="188">
        <f>((('VMT Ton-Mile Driver Time'!$J6*'Emissions - Truck'!AC9)+('VMT Ton-Mile Driver Time'!$K6*'Emissions - Truck'!BD9)+('VMT Ton-Mile Driver Time'!$L6*'Emissions - Truck'!AU9))/1000000)+('VMT Ton-Mile Driver Time'!$N50*'Emissions - Rail'!$C$3/1000000)</f>
        <v>0</v>
      </c>
      <c r="D49" s="188">
        <f>((('VMT Ton-Mile Driver Time'!$J6*'Emissions - Truck'!AD9)+('VMT Ton-Mile Driver Time'!$K6*'Emissions - Truck'!BE9)+('VMT Ton-Mile Driver Time'!$L6*'Emissions - Truck'!AV9))/1000000)+('VMT Ton-Mile Driver Time'!$N50*'Emissions - Rail'!$D$3/1000000)</f>
        <v>0</v>
      </c>
      <c r="E49" s="188">
        <f>((('VMT Ton-Mile Driver Time'!$J6*'Emissions - Truck'!AH9)+('VMT Ton-Mile Driver Time'!$K6*'Emissions - Truck'!BI9)+('VMT Ton-Mile Driver Time'!$L6*'Emissions - Truck'!AZ9))/1000000)+('VMT Ton-Mile Driver Time'!$N50*'Emissions - Rail'!$E$3/1000000)</f>
        <v>0</v>
      </c>
      <c r="F49" s="41">
        <f>((('VMT Ton-Mile Driver Time'!$J6*'Emissions - Truck'!AF9)+('VMT Ton-Mile Driver Time'!$K6*'Emissions - Truck'!BG9)+('VMT Ton-Mile Driver Time'!$L6*'Emissions - Truck'!AX9))/1000000)</f>
        <v>0</v>
      </c>
      <c r="G49" s="188">
        <f>((('VMT Ton-Mile Driver Time'!$J6*'Emissions - Truck'!AG9)+('VMT Ton-Mile Driver Time'!$K6*'Emissions - Truck'!BH9)+('VMT Ton-Mile Driver Time'!$L6*'Emissions - Truck'!AY9))/1000000)</f>
        <v>0</v>
      </c>
      <c r="H49" s="42">
        <f>C49*'Monetized Values and Factors'!N46</f>
        <v>0</v>
      </c>
      <c r="I49" s="42">
        <f>D49*'Monetized Values and Factors'!$O$34</f>
        <v>0</v>
      </c>
      <c r="J49" s="42">
        <f>E49*'Monetized Values and Factors'!$O$35</f>
        <v>0</v>
      </c>
      <c r="K49" s="42">
        <f>F49*'Monetized Values and Factors'!$O$36</f>
        <v>0</v>
      </c>
      <c r="L49" s="43">
        <f>G49*'Monetized Values and Factors'!$O$33</f>
        <v>0</v>
      </c>
    </row>
    <row r="50" spans="1:12" x14ac:dyDescent="0.25">
      <c r="A50" s="37">
        <v>2017</v>
      </c>
      <c r="B50" s="4">
        <f>('VMT Ton-Mile Driver Time'!N7/'Monetized Values and Factors'!M$24)+('VMT Ton-Mile Driver Time'!N51/'Monetized Values and Factors'!$M$25)</f>
        <v>0</v>
      </c>
      <c r="C50" s="188">
        <f>((('VMT Ton-Mile Driver Time'!$J7*'Emissions - Truck'!AC10)+('VMT Ton-Mile Driver Time'!$K7*'Emissions - Truck'!BD10)+('VMT Ton-Mile Driver Time'!$L7*'Emissions - Truck'!AU10))/1000000)+('VMT Ton-Mile Driver Time'!$N51*'Emissions - Rail'!$C$3/1000000)</f>
        <v>0</v>
      </c>
      <c r="D50" s="188">
        <f>((('VMT Ton-Mile Driver Time'!$J7*'Emissions - Truck'!AD10)+('VMT Ton-Mile Driver Time'!$K7*'Emissions - Truck'!BE10)+('VMT Ton-Mile Driver Time'!$L7*'Emissions - Truck'!AV10))/1000000)+('VMT Ton-Mile Driver Time'!$N51*'Emissions - Rail'!$D$3/1000000)</f>
        <v>0</v>
      </c>
      <c r="E50" s="188">
        <f>((('VMT Ton-Mile Driver Time'!$J7*'Emissions - Truck'!AH10)+('VMT Ton-Mile Driver Time'!$K7*'Emissions - Truck'!BI10)+('VMT Ton-Mile Driver Time'!$L7*'Emissions - Truck'!AZ10))/1000000)+('VMT Ton-Mile Driver Time'!$N51*'Emissions - Rail'!$E$3/1000000)</f>
        <v>0</v>
      </c>
      <c r="F50" s="41">
        <f>((('VMT Ton-Mile Driver Time'!$J7*'Emissions - Truck'!AF10)+('VMT Ton-Mile Driver Time'!$K7*'Emissions - Truck'!BG10)+('VMT Ton-Mile Driver Time'!$L7*'Emissions - Truck'!AX10))/1000000)</f>
        <v>0</v>
      </c>
      <c r="G50" s="188">
        <f>((('VMT Ton-Mile Driver Time'!$J7*'Emissions - Truck'!AG10)+('VMT Ton-Mile Driver Time'!$K7*'Emissions - Truck'!BH10)+('VMT Ton-Mile Driver Time'!$L7*'Emissions - Truck'!AY10))/1000000)</f>
        <v>0</v>
      </c>
      <c r="H50" s="42">
        <f>C50*'Monetized Values and Factors'!N47</f>
        <v>0</v>
      </c>
      <c r="I50" s="42">
        <f>D50*'Monetized Values and Factors'!$O$34</f>
        <v>0</v>
      </c>
      <c r="J50" s="42">
        <f>E50*'Monetized Values and Factors'!$O$35</f>
        <v>0</v>
      </c>
      <c r="K50" s="42">
        <f>F50*'Monetized Values and Factors'!$O$36</f>
        <v>0</v>
      </c>
      <c r="L50" s="43">
        <f>G50*'Monetized Values and Factors'!$O$33</f>
        <v>0</v>
      </c>
    </row>
    <row r="51" spans="1:12" x14ac:dyDescent="0.25">
      <c r="A51" s="37">
        <v>2018</v>
      </c>
      <c r="B51" s="4">
        <f>('VMT Ton-Mile Driver Time'!N8/'Monetized Values and Factors'!M$24)+('VMT Ton-Mile Driver Time'!N52/'Monetized Values and Factors'!$M$25)</f>
        <v>0</v>
      </c>
      <c r="C51" s="188">
        <f>((('VMT Ton-Mile Driver Time'!$J8*'Emissions - Truck'!AC11)+('VMT Ton-Mile Driver Time'!$K8*'Emissions - Truck'!BD11)+('VMT Ton-Mile Driver Time'!$L8*'Emissions - Truck'!AU11))/1000000)+('VMT Ton-Mile Driver Time'!$N52*'Emissions - Rail'!$C$3/1000000)</f>
        <v>0</v>
      </c>
      <c r="D51" s="188">
        <f>((('VMT Ton-Mile Driver Time'!$J8*'Emissions - Truck'!AD11)+('VMT Ton-Mile Driver Time'!$K8*'Emissions - Truck'!BE11)+('VMT Ton-Mile Driver Time'!$L8*'Emissions - Truck'!AV11))/1000000)+('VMT Ton-Mile Driver Time'!$N52*'Emissions - Rail'!$D$3/1000000)</f>
        <v>0</v>
      </c>
      <c r="E51" s="188">
        <f>((('VMT Ton-Mile Driver Time'!$J8*'Emissions - Truck'!AH11)+('VMT Ton-Mile Driver Time'!$K8*'Emissions - Truck'!BI11)+('VMT Ton-Mile Driver Time'!$L8*'Emissions - Truck'!AZ11))/1000000)+('VMT Ton-Mile Driver Time'!$N52*'Emissions - Rail'!$E$3/1000000)</f>
        <v>0</v>
      </c>
      <c r="F51" s="41">
        <f>((('VMT Ton-Mile Driver Time'!$J8*'Emissions - Truck'!AF11)+('VMT Ton-Mile Driver Time'!$K8*'Emissions - Truck'!BG11)+('VMT Ton-Mile Driver Time'!$L8*'Emissions - Truck'!AX11))/1000000)</f>
        <v>0</v>
      </c>
      <c r="G51" s="188">
        <f>((('VMT Ton-Mile Driver Time'!$J8*'Emissions - Truck'!AG11)+('VMT Ton-Mile Driver Time'!$K8*'Emissions - Truck'!BH11)+('VMT Ton-Mile Driver Time'!$L8*'Emissions - Truck'!AY11))/1000000)</f>
        <v>0</v>
      </c>
      <c r="H51" s="42">
        <f>C51*'Monetized Values and Factors'!N48</f>
        <v>0</v>
      </c>
      <c r="I51" s="42">
        <f>D51*'Monetized Values and Factors'!$O$34</f>
        <v>0</v>
      </c>
      <c r="J51" s="42">
        <f>E51*'Monetized Values and Factors'!$O$35</f>
        <v>0</v>
      </c>
      <c r="K51" s="42">
        <f>F51*'Monetized Values and Factors'!$O$36</f>
        <v>0</v>
      </c>
      <c r="L51" s="43">
        <f>G51*'Monetized Values and Factors'!$O$33</f>
        <v>0</v>
      </c>
    </row>
    <row r="52" spans="1:12" x14ac:dyDescent="0.25">
      <c r="A52" s="37">
        <v>2019</v>
      </c>
      <c r="B52" s="4">
        <f>('VMT Ton-Mile Driver Time'!N9/'Monetized Values and Factors'!M$24)+('VMT Ton-Mile Driver Time'!N53/'Monetized Values and Factors'!$M$25)</f>
        <v>0</v>
      </c>
      <c r="C52" s="188">
        <f>((('VMT Ton-Mile Driver Time'!$J9*'Emissions - Truck'!AC12)+('VMT Ton-Mile Driver Time'!$K9*'Emissions - Truck'!BD12)+('VMT Ton-Mile Driver Time'!$L9*'Emissions - Truck'!AU12))/1000000)+('VMT Ton-Mile Driver Time'!$N53*'Emissions - Rail'!$C$3/1000000)</f>
        <v>0</v>
      </c>
      <c r="D52" s="188">
        <f>((('VMT Ton-Mile Driver Time'!$J9*'Emissions - Truck'!AD12)+('VMT Ton-Mile Driver Time'!$K9*'Emissions - Truck'!BE12)+('VMT Ton-Mile Driver Time'!$L9*'Emissions - Truck'!AV12))/1000000)+('VMT Ton-Mile Driver Time'!$N53*'Emissions - Rail'!$D$3/1000000)</f>
        <v>0</v>
      </c>
      <c r="E52" s="188">
        <f>((('VMT Ton-Mile Driver Time'!$J9*'Emissions - Truck'!AH12)+('VMT Ton-Mile Driver Time'!$K9*'Emissions - Truck'!BI12)+('VMT Ton-Mile Driver Time'!$L9*'Emissions - Truck'!AZ12))/1000000)+('VMT Ton-Mile Driver Time'!$N53*'Emissions - Rail'!$E$3/1000000)</f>
        <v>0</v>
      </c>
      <c r="F52" s="41">
        <f>((('VMT Ton-Mile Driver Time'!$J9*'Emissions - Truck'!AF12)+('VMT Ton-Mile Driver Time'!$K9*'Emissions - Truck'!BG12)+('VMT Ton-Mile Driver Time'!$L9*'Emissions - Truck'!AX12))/1000000)</f>
        <v>0</v>
      </c>
      <c r="G52" s="188">
        <f>((('VMT Ton-Mile Driver Time'!$J9*'Emissions - Truck'!AG12)+('VMT Ton-Mile Driver Time'!$K9*'Emissions - Truck'!BH12)+('VMT Ton-Mile Driver Time'!$L9*'Emissions - Truck'!AY12))/1000000)</f>
        <v>0</v>
      </c>
      <c r="H52" s="42">
        <f>C52*'Monetized Values and Factors'!N49</f>
        <v>0</v>
      </c>
      <c r="I52" s="42">
        <f>D52*'Monetized Values and Factors'!$O$34</f>
        <v>0</v>
      </c>
      <c r="J52" s="42">
        <f>E52*'Monetized Values and Factors'!$O$35</f>
        <v>0</v>
      </c>
      <c r="K52" s="42">
        <f>F52*'Monetized Values and Factors'!$O$36</f>
        <v>0</v>
      </c>
      <c r="L52" s="43">
        <f>G52*'Monetized Values and Factors'!$O$33</f>
        <v>0</v>
      </c>
    </row>
    <row r="53" spans="1:12" x14ac:dyDescent="0.25">
      <c r="A53" s="37">
        <v>2020</v>
      </c>
      <c r="B53" s="4">
        <f>('VMT Ton-Mile Driver Time'!N10/'Monetized Values and Factors'!M$24)+('VMT Ton-Mile Driver Time'!N54/'Monetized Values and Factors'!$M$25)</f>
        <v>0</v>
      </c>
      <c r="C53" s="188">
        <f>((('VMT Ton-Mile Driver Time'!$J10*'Emissions - Truck'!AC13)+('VMT Ton-Mile Driver Time'!$K10*'Emissions - Truck'!BD13)+('VMT Ton-Mile Driver Time'!$L10*'Emissions - Truck'!AU13))/1000000)+('VMT Ton-Mile Driver Time'!$N54*'Emissions - Rail'!$C$3/1000000)</f>
        <v>0</v>
      </c>
      <c r="D53" s="188">
        <f>((('VMT Ton-Mile Driver Time'!$J10*'Emissions - Truck'!AD13)+('VMT Ton-Mile Driver Time'!$K10*'Emissions - Truck'!BE13)+('VMT Ton-Mile Driver Time'!$L10*'Emissions - Truck'!AV13))/1000000)+('VMT Ton-Mile Driver Time'!$N54*'Emissions - Rail'!$D$3/1000000)</f>
        <v>0</v>
      </c>
      <c r="E53" s="188">
        <f>((('VMT Ton-Mile Driver Time'!$J10*'Emissions - Truck'!AH13)+('VMT Ton-Mile Driver Time'!$K10*'Emissions - Truck'!BI13)+('VMT Ton-Mile Driver Time'!$L10*'Emissions - Truck'!AZ13))/1000000)+('VMT Ton-Mile Driver Time'!$N54*'Emissions - Rail'!$E$3/1000000)</f>
        <v>0</v>
      </c>
      <c r="F53" s="41">
        <f>((('VMT Ton-Mile Driver Time'!$J10*'Emissions - Truck'!AF13)+('VMT Ton-Mile Driver Time'!$K10*'Emissions - Truck'!BG13)+('VMT Ton-Mile Driver Time'!$L10*'Emissions - Truck'!AX13))/1000000)</f>
        <v>0</v>
      </c>
      <c r="G53" s="188">
        <f>((('VMT Ton-Mile Driver Time'!$J10*'Emissions - Truck'!AG13)+('VMT Ton-Mile Driver Time'!$K10*'Emissions - Truck'!BH13)+('VMT Ton-Mile Driver Time'!$L10*'Emissions - Truck'!AY13))/1000000)</f>
        <v>0</v>
      </c>
      <c r="H53" s="42">
        <f>C53*'Monetized Values and Factors'!N50</f>
        <v>0</v>
      </c>
      <c r="I53" s="42">
        <f>D53*'Monetized Values and Factors'!$O$34</f>
        <v>0</v>
      </c>
      <c r="J53" s="42">
        <f>E53*'Monetized Values and Factors'!$O$35</f>
        <v>0</v>
      </c>
      <c r="K53" s="42">
        <f>F53*'Monetized Values and Factors'!$O$36</f>
        <v>0</v>
      </c>
      <c r="L53" s="43">
        <f>G53*'Monetized Values and Factors'!$O$33</f>
        <v>0</v>
      </c>
    </row>
    <row r="54" spans="1:12" x14ac:dyDescent="0.25">
      <c r="A54" s="37">
        <v>2021</v>
      </c>
      <c r="B54" s="4">
        <f>('VMT Ton-Mile Driver Time'!N11/'Monetized Values and Factors'!M$24)+('VMT Ton-Mile Driver Time'!N55/'Monetized Values and Factors'!$M$25)</f>
        <v>0</v>
      </c>
      <c r="C54" s="188">
        <f>((('VMT Ton-Mile Driver Time'!$J11*'Emissions - Truck'!AC14)+('VMT Ton-Mile Driver Time'!$K11*'Emissions - Truck'!BD14)+('VMT Ton-Mile Driver Time'!$L11*'Emissions - Truck'!AU14))/1000000)+('VMT Ton-Mile Driver Time'!$N55*'Emissions - Rail'!$C$3/1000000)</f>
        <v>0</v>
      </c>
      <c r="D54" s="188">
        <f>((('VMT Ton-Mile Driver Time'!$J11*'Emissions - Truck'!AD14)+('VMT Ton-Mile Driver Time'!$K11*'Emissions - Truck'!BE14)+('VMT Ton-Mile Driver Time'!$L11*'Emissions - Truck'!AV14))/1000000)+('VMT Ton-Mile Driver Time'!$N55*'Emissions - Rail'!$D$3/1000000)</f>
        <v>0</v>
      </c>
      <c r="E54" s="188">
        <f>((('VMT Ton-Mile Driver Time'!$J11*'Emissions - Truck'!AH14)+('VMT Ton-Mile Driver Time'!$K11*'Emissions - Truck'!BI14)+('VMT Ton-Mile Driver Time'!$L11*'Emissions - Truck'!AZ14))/1000000)+('VMT Ton-Mile Driver Time'!$N55*'Emissions - Rail'!$E$3/1000000)</f>
        <v>0</v>
      </c>
      <c r="F54" s="41">
        <f>((('VMT Ton-Mile Driver Time'!$J11*'Emissions - Truck'!AF14)+('VMT Ton-Mile Driver Time'!$K11*'Emissions - Truck'!BG14)+('VMT Ton-Mile Driver Time'!$L11*'Emissions - Truck'!AX14))/1000000)</f>
        <v>0</v>
      </c>
      <c r="G54" s="188">
        <f>((('VMT Ton-Mile Driver Time'!$J11*'Emissions - Truck'!AG14)+('VMT Ton-Mile Driver Time'!$K11*'Emissions - Truck'!BH14)+('VMT Ton-Mile Driver Time'!$L11*'Emissions - Truck'!AY14))/1000000)</f>
        <v>0</v>
      </c>
      <c r="H54" s="42">
        <f>C54*'Monetized Values and Factors'!N51</f>
        <v>0</v>
      </c>
      <c r="I54" s="42">
        <f>D54*'Monetized Values and Factors'!$O$34</f>
        <v>0</v>
      </c>
      <c r="J54" s="42">
        <f>E54*'Monetized Values and Factors'!$O$35</f>
        <v>0</v>
      </c>
      <c r="K54" s="42">
        <f>F54*'Monetized Values and Factors'!$O$36</f>
        <v>0</v>
      </c>
      <c r="L54" s="43">
        <f>G54*'Monetized Values and Factors'!$O$33</f>
        <v>0</v>
      </c>
    </row>
    <row r="55" spans="1:12" x14ac:dyDescent="0.25">
      <c r="A55" s="37">
        <v>2022</v>
      </c>
      <c r="B55" s="4">
        <f>('VMT Ton-Mile Driver Time'!N12/'Monetized Values and Factors'!M$24)+('VMT Ton-Mile Driver Time'!N56/'Monetized Values and Factors'!$M$25)</f>
        <v>0</v>
      </c>
      <c r="C55" s="188">
        <f>((('VMT Ton-Mile Driver Time'!$J12*'Emissions - Truck'!AC15)+('VMT Ton-Mile Driver Time'!$K12*'Emissions - Truck'!BD15)+('VMT Ton-Mile Driver Time'!$L12*'Emissions - Truck'!AU15))/1000000)+('VMT Ton-Mile Driver Time'!$N56*'Emissions - Rail'!$C$3/1000000)</f>
        <v>0</v>
      </c>
      <c r="D55" s="188">
        <f>((('VMT Ton-Mile Driver Time'!$J12*'Emissions - Truck'!AD15)+('VMT Ton-Mile Driver Time'!$K12*'Emissions - Truck'!BE15)+('VMT Ton-Mile Driver Time'!$L12*'Emissions - Truck'!AV15))/1000000)+('VMT Ton-Mile Driver Time'!$N56*'Emissions - Rail'!$D$3/1000000)</f>
        <v>0</v>
      </c>
      <c r="E55" s="188">
        <f>((('VMT Ton-Mile Driver Time'!$J12*'Emissions - Truck'!AH15)+('VMT Ton-Mile Driver Time'!$K12*'Emissions - Truck'!BI15)+('VMT Ton-Mile Driver Time'!$L12*'Emissions - Truck'!AZ15))/1000000)+('VMT Ton-Mile Driver Time'!$N56*'Emissions - Rail'!$E$3/1000000)</f>
        <v>0</v>
      </c>
      <c r="F55" s="41">
        <f>((('VMT Ton-Mile Driver Time'!$J12*'Emissions - Truck'!AF15)+('VMT Ton-Mile Driver Time'!$K12*'Emissions - Truck'!BG15)+('VMT Ton-Mile Driver Time'!$L12*'Emissions - Truck'!AX15))/1000000)</f>
        <v>0</v>
      </c>
      <c r="G55" s="188">
        <f>((('VMT Ton-Mile Driver Time'!$J12*'Emissions - Truck'!AG15)+('VMT Ton-Mile Driver Time'!$K12*'Emissions - Truck'!BH15)+('VMT Ton-Mile Driver Time'!$L12*'Emissions - Truck'!AY15))/1000000)</f>
        <v>0</v>
      </c>
      <c r="H55" s="42">
        <f>C55*'Monetized Values and Factors'!N52</f>
        <v>0</v>
      </c>
      <c r="I55" s="42">
        <f>D55*'Monetized Values and Factors'!$O$34</f>
        <v>0</v>
      </c>
      <c r="J55" s="42">
        <f>E55*'Monetized Values and Factors'!$O$35</f>
        <v>0</v>
      </c>
      <c r="K55" s="42">
        <f>F55*'Monetized Values and Factors'!$O$36</f>
        <v>0</v>
      </c>
      <c r="L55" s="43">
        <f>G55*'Monetized Values and Factors'!$O$33</f>
        <v>0</v>
      </c>
    </row>
    <row r="56" spans="1:12" x14ac:dyDescent="0.25">
      <c r="A56" s="37">
        <v>2023</v>
      </c>
      <c r="B56" s="4">
        <f>('VMT Ton-Mile Driver Time'!N13/'Monetized Values and Factors'!M$24)+('VMT Ton-Mile Driver Time'!N57/'Monetized Values and Factors'!$M$25)</f>
        <v>1921987.5720430408</v>
      </c>
      <c r="C56" s="188">
        <f>((('VMT Ton-Mile Driver Time'!$J13*'Emissions - Truck'!AC16)+('VMT Ton-Mile Driver Time'!$K13*'Emissions - Truck'!BD16)+('VMT Ton-Mile Driver Time'!$L13*'Emissions - Truck'!AU16))/1000000)+('VMT Ton-Mile Driver Time'!$N57*'Emissions - Rail'!$C$3/1000000)</f>
        <v>11024.909162271037</v>
      </c>
      <c r="D56" s="188">
        <f>((('VMT Ton-Mile Driver Time'!$J13*'Emissions - Truck'!AD16)+('VMT Ton-Mile Driver Time'!$K13*'Emissions - Truck'!BE16)+('VMT Ton-Mile Driver Time'!$L13*'Emissions - Truck'!AV16))/1000000)+('VMT Ton-Mile Driver Time'!$N57*'Emissions - Rail'!$D$3/1000000)</f>
        <v>98.063603424561833</v>
      </c>
      <c r="E56" s="188">
        <f>((('VMT Ton-Mile Driver Time'!$J13*'Emissions - Truck'!AH16)+('VMT Ton-Mile Driver Time'!$K13*'Emissions - Truck'!BI16)+('VMT Ton-Mile Driver Time'!$L13*'Emissions - Truck'!AZ16))/1000000)+('VMT Ton-Mile Driver Time'!$N57*'Emissions - Rail'!$E$3/1000000)</f>
        <v>2.6206431124271998</v>
      </c>
      <c r="F56" s="41">
        <f>((('VMT Ton-Mile Driver Time'!$J13*'Emissions - Truck'!AF16)+('VMT Ton-Mile Driver Time'!$K13*'Emissions - Truck'!BG16)+('VMT Ton-Mile Driver Time'!$L13*'Emissions - Truck'!AX16))/1000000)</f>
        <v>6.4691138014360425E-2</v>
      </c>
      <c r="G56" s="188">
        <f>((('VMT Ton-Mile Driver Time'!$J13*'Emissions - Truck'!AG16)+('VMT Ton-Mile Driver Time'!$K13*'Emissions - Truck'!BH16)+('VMT Ton-Mile Driver Time'!$L13*'Emissions - Truck'!AY16))/1000000)</f>
        <v>0.39266536951115383</v>
      </c>
      <c r="H56" s="42">
        <f>C56*'Monetized Values and Factors'!N53</f>
        <v>11024.909162271037</v>
      </c>
      <c r="I56" s="42">
        <f>D56*'Monetized Values and Factors'!$O$34</f>
        <v>896541.59112888528</v>
      </c>
      <c r="J56" s="42">
        <f>E56*'Monetized Values and Factors'!$O$35</f>
        <v>1090571.983114308</v>
      </c>
      <c r="K56" s="42">
        <f>F56*'Monetized Values and Factors'!$O$36</f>
        <v>3484.4814087658006</v>
      </c>
      <c r="L56" s="43">
        <f>G56*'Monetized Values and Factors'!$O$33</f>
        <v>865.0418090330719</v>
      </c>
    </row>
    <row r="57" spans="1:12" x14ac:dyDescent="0.25">
      <c r="A57" s="37">
        <v>2024</v>
      </c>
      <c r="B57" s="4">
        <f>('VMT Ton-Mile Driver Time'!N14/'Monetized Values and Factors'!M$24)+('VMT Ton-Mile Driver Time'!N58/'Monetized Values and Factors'!$M$25)</f>
        <v>3843975.1440860815</v>
      </c>
      <c r="C57" s="188">
        <f>((('VMT Ton-Mile Driver Time'!$J14*'Emissions - Truck'!AC17)+('VMT Ton-Mile Driver Time'!$K14*'Emissions - Truck'!BD17)+('VMT Ton-Mile Driver Time'!$L14*'Emissions - Truck'!AU17))/1000000)+('VMT Ton-Mile Driver Time'!$N58*'Emissions - Rail'!$C$3/1000000)</f>
        <v>22025.845441454134</v>
      </c>
      <c r="D57" s="188">
        <f>((('VMT Ton-Mile Driver Time'!$J14*'Emissions - Truck'!AD17)+('VMT Ton-Mile Driver Time'!$K14*'Emissions - Truck'!BE17)+('VMT Ton-Mile Driver Time'!$L14*'Emissions - Truck'!AV17))/1000000)+('VMT Ton-Mile Driver Time'!$N58*'Emissions - Rail'!$D$3/1000000)</f>
        <v>193.77638435823391</v>
      </c>
      <c r="E57" s="188">
        <f>((('VMT Ton-Mile Driver Time'!$J14*'Emissions - Truck'!AH17)+('VMT Ton-Mile Driver Time'!$K14*'Emissions - Truck'!BI17)+('VMT Ton-Mile Driver Time'!$L14*'Emissions - Truck'!AZ17))/1000000)+('VMT Ton-Mile Driver Time'!$N58*'Emissions - Rail'!$E$3/1000000)</f>
        <v>5.2030445556297806</v>
      </c>
      <c r="F57" s="41">
        <f>((('VMT Ton-Mile Driver Time'!$J14*'Emissions - Truck'!AF17)+('VMT Ton-Mile Driver Time'!$K14*'Emissions - Truck'!BG17)+('VMT Ton-Mile Driver Time'!$L14*'Emissions - Truck'!AX17))/1000000)</f>
        <v>0.12910677579997076</v>
      </c>
      <c r="G57" s="188">
        <f>((('VMT Ton-Mile Driver Time'!$J14*'Emissions - Truck'!AG17)+('VMT Ton-Mile Driver Time'!$K14*'Emissions - Truck'!BH17)+('VMT Ton-Mile Driver Time'!$L14*'Emissions - Truck'!AY17))/1000000)</f>
        <v>0.72341310653590418</v>
      </c>
      <c r="H57" s="42">
        <f>C57*'Monetized Values and Factors'!N54</f>
        <v>22025.845441454134</v>
      </c>
      <c r="I57" s="42">
        <f>D57*'Monetized Values and Factors'!$O$34</f>
        <v>1771590.9051759355</v>
      </c>
      <c r="J57" s="42">
        <f>E57*'Monetized Values and Factors'!$O$35</f>
        <v>2165229.8217782993</v>
      </c>
      <c r="K57" s="42">
        <f>F57*'Monetized Values and Factors'!$O$36</f>
        <v>6954.1234522853547</v>
      </c>
      <c r="L57" s="43">
        <f>G57*'Monetized Values and Factors'!$O$33</f>
        <v>1593.679073698597</v>
      </c>
    </row>
    <row r="58" spans="1:12" x14ac:dyDescent="0.25">
      <c r="A58" s="37">
        <v>2025</v>
      </c>
      <c r="B58" s="4">
        <f>('VMT Ton-Mile Driver Time'!N15/'Monetized Values and Factors'!M$24)+('VMT Ton-Mile Driver Time'!N59/'Monetized Values and Factors'!$M$25)</f>
        <v>5765962.7161291232</v>
      </c>
      <c r="C58" s="188">
        <f>((('VMT Ton-Mile Driver Time'!$J15*'Emissions - Truck'!AC18)+('VMT Ton-Mile Driver Time'!$K15*'Emissions - Truck'!BD18)+('VMT Ton-Mile Driver Time'!$L15*'Emissions - Truck'!AU18))/1000000)+('VMT Ton-Mile Driver Time'!$N59*'Emissions - Rail'!$C$3/1000000)</f>
        <v>33002.906030014041</v>
      </c>
      <c r="D58" s="188">
        <f>((('VMT Ton-Mile Driver Time'!$J15*'Emissions - Truck'!AD18)+('VMT Ton-Mile Driver Time'!$K15*'Emissions - Truck'!BE18)+('VMT Ton-Mile Driver Time'!$L15*'Emissions - Truck'!AV18))/1000000)+('VMT Ton-Mile Driver Time'!$N59*'Emissions - Rail'!$D$3/1000000)</f>
        <v>287.55412555398442</v>
      </c>
      <c r="E58" s="188">
        <f>((('VMT Ton-Mile Driver Time'!$J15*'Emissions - Truck'!AH18)+('VMT Ton-Mile Driver Time'!$K15*'Emissions - Truck'!BI18)+('VMT Ton-Mile Driver Time'!$L15*'Emissions - Truck'!AZ18))/1000000)+('VMT Ton-Mile Driver Time'!$N59*'Emissions - Rail'!$E$3/1000000)</f>
        <v>7.7547547300595125</v>
      </c>
      <c r="F58" s="41">
        <f>((('VMT Ton-Mile Driver Time'!$J15*'Emissions - Truck'!AF18)+('VMT Ton-Mile Driver Time'!$K15*'Emissions - Truck'!BG18)+('VMT Ton-Mile Driver Time'!$L15*'Emissions - Truck'!AX18))/1000000)</f>
        <v>0.19324805717977669</v>
      </c>
      <c r="G58" s="188">
        <f>((('VMT Ton-Mile Driver Time'!$J15*'Emissions - Truck'!AG18)+('VMT Ton-Mile Driver Time'!$K15*'Emissions - Truck'!BH18)+('VMT Ton-Mile Driver Time'!$L15*'Emissions - Truck'!AY18))/1000000)</f>
        <v>0.99963578714983681</v>
      </c>
      <c r="H58" s="42">
        <f>C58*'Monetized Values and Factors'!N55</f>
        <v>33002.906030014041</v>
      </c>
      <c r="I58" s="42">
        <f>D58*'Monetized Values and Factors'!$O$34</f>
        <v>2628949.2151710247</v>
      </c>
      <c r="J58" s="42">
        <f>E58*'Monetized Values and Factors'!$O$35</f>
        <v>3227115.5902236565</v>
      </c>
      <c r="K58" s="42">
        <f>F58*'Monetized Values and Factors'!$O$36</f>
        <v>10408.987740694325</v>
      </c>
      <c r="L58" s="43">
        <f>G58*'Monetized Values and Factors'!$O$33</f>
        <v>2202.1976390910904</v>
      </c>
    </row>
    <row r="59" spans="1:12" x14ac:dyDescent="0.25">
      <c r="A59" s="37">
        <v>2026</v>
      </c>
      <c r="B59" s="4">
        <f>('VMT Ton-Mile Driver Time'!N16/'Monetized Values and Factors'!M$24)+('VMT Ton-Mile Driver Time'!N60/'Monetized Values and Factors'!$M$25)</f>
        <v>7687950.2881721631</v>
      </c>
      <c r="C59" s="188">
        <f>((('VMT Ton-Mile Driver Time'!$J16*'Emissions - Truck'!AC19)+('VMT Ton-Mile Driver Time'!$K16*'Emissions - Truck'!BD19)+('VMT Ton-Mile Driver Time'!$L16*'Emissions - Truck'!AU19))/1000000)+('VMT Ton-Mile Driver Time'!$N60*'Emissions - Rail'!$C$3/1000000)</f>
        <v>43956.187774170015</v>
      </c>
      <c r="D59" s="188">
        <f>((('VMT Ton-Mile Driver Time'!$J16*'Emissions - Truck'!AD19)+('VMT Ton-Mile Driver Time'!$K16*'Emissions - Truck'!BE19)+('VMT Ton-Mile Driver Time'!$L16*'Emissions - Truck'!AV19))/1000000)+('VMT Ton-Mile Driver Time'!$N60*'Emissions - Rail'!$D$3/1000000)</f>
        <v>379.74706055128928</v>
      </c>
      <c r="E59" s="188">
        <f>((('VMT Ton-Mile Driver Time'!$J16*'Emissions - Truck'!AH19)+('VMT Ton-Mile Driver Time'!$K16*'Emissions - Truck'!BI19)+('VMT Ton-Mile Driver Time'!$L16*'Emissions - Truck'!AZ19))/1000000)+('VMT Ton-Mile Driver Time'!$N60*'Emissions - Rail'!$E$3/1000000)</f>
        <v>10.281995031505822</v>
      </c>
      <c r="F59" s="41">
        <f>((('VMT Ton-Mile Driver Time'!$J16*'Emissions - Truck'!AF19)+('VMT Ton-Mile Driver Time'!$K16*'Emissions - Truck'!BG19)+('VMT Ton-Mile Driver Time'!$L16*'Emissions - Truck'!AX19))/1000000)</f>
        <v>0.25711612151422314</v>
      </c>
      <c r="G59" s="188">
        <f>((('VMT Ton-Mile Driver Time'!$J16*'Emissions - Truck'!AG19)+('VMT Ton-Mile Driver Time'!$K16*'Emissions - Truck'!BH19)+('VMT Ton-Mile Driver Time'!$L16*'Emissions - Truck'!AY19))/1000000)</f>
        <v>1.2279345792306822</v>
      </c>
      <c r="H59" s="42">
        <f>C59*'Monetized Values and Factors'!N56</f>
        <v>43956.187774170015</v>
      </c>
      <c r="I59" s="42">
        <f>D59*'Monetized Values and Factors'!$O$34</f>
        <v>3471818.5137371342</v>
      </c>
      <c r="J59" s="42">
        <f>E59*'Monetized Values and Factors'!$O$35</f>
        <v>4278818.3017775435</v>
      </c>
      <c r="K59" s="42">
        <f>F59*'Monetized Values and Factors'!$O$36</f>
        <v>13849.135643763131</v>
      </c>
      <c r="L59" s="43">
        <f>G59*'Monetized Values and Factors'!$O$33</f>
        <v>2705.1398780451927</v>
      </c>
    </row>
    <row r="60" spans="1:12" x14ac:dyDescent="0.25">
      <c r="A60" s="37">
        <v>2027</v>
      </c>
      <c r="B60" s="4">
        <f>('VMT Ton-Mile Driver Time'!N17/'Monetized Values and Factors'!M$24)+('VMT Ton-Mile Driver Time'!N61/'Monetized Values and Factors'!$M$25)</f>
        <v>9609937.8602152038</v>
      </c>
      <c r="C60" s="188">
        <f>((('VMT Ton-Mile Driver Time'!$J17*'Emissions - Truck'!AC20)+('VMT Ton-Mile Driver Time'!$K17*'Emissions - Truck'!BD20)+('VMT Ton-Mile Driver Time'!$L17*'Emissions - Truck'!AU20))/1000000)+('VMT Ton-Mile Driver Time'!$N61*'Emissions - Rail'!$C$3/1000000)</f>
        <v>54885.787175054167</v>
      </c>
      <c r="D60" s="188">
        <f>((('VMT Ton-Mile Driver Time'!$J17*'Emissions - Truck'!AD20)+('VMT Ton-Mile Driver Time'!$K17*'Emissions - Truck'!BE20)+('VMT Ton-Mile Driver Time'!$L17*'Emissions - Truck'!AV20))/1000000)+('VMT Ton-Mile Driver Time'!$N61*'Emissions - Rail'!$D$3/1000000)</f>
        <v>470.64958749956025</v>
      </c>
      <c r="E60" s="188">
        <f>((('VMT Ton-Mile Driver Time'!$J17*'Emissions - Truck'!AH20)+('VMT Ton-Mile Driver Time'!$K17*'Emissions - Truck'!BI20)+('VMT Ton-Mile Driver Time'!$L17*'Emissions - Truck'!AZ20))/1000000)+('VMT Ton-Mile Driver Time'!$N61*'Emissions - Rail'!$E$3/1000000)</f>
        <v>12.789877765028008</v>
      </c>
      <c r="F60" s="41">
        <f>((('VMT Ton-Mile Driver Time'!$J17*'Emissions - Truck'!AF20)+('VMT Ton-Mile Driver Time'!$K17*'Emissions - Truck'!BG20)+('VMT Ton-Mile Driver Time'!$L17*'Emissions - Truck'!AX20))/1000000)</f>
        <v>0.32071210371779163</v>
      </c>
      <c r="G60" s="188">
        <f>((('VMT Ton-Mile Driver Time'!$J17*'Emissions - Truck'!AG20)+('VMT Ton-Mile Driver Time'!$K17*'Emissions - Truck'!BH20)+('VMT Ton-Mile Driver Time'!$L17*'Emissions - Truck'!AY20))/1000000)</f>
        <v>1.4141992941453239</v>
      </c>
      <c r="H60" s="42">
        <f>C60*'Monetized Values and Factors'!N57</f>
        <v>54885.787175054167</v>
      </c>
      <c r="I60" s="42">
        <f>D60*'Monetized Values and Factors'!$O$34</f>
        <v>4302890.3212353541</v>
      </c>
      <c r="J60" s="42">
        <f>E60*'Monetized Values and Factors'!$O$35</f>
        <v>5322465.4253197806</v>
      </c>
      <c r="K60" s="42">
        <f>F60*'Monetized Values and Factors'!$O$36</f>
        <v>17274.628291787711</v>
      </c>
      <c r="L60" s="43">
        <f>G60*'Monetized Values and Factors'!$O$33</f>
        <v>3115.4810450021487</v>
      </c>
    </row>
    <row r="61" spans="1:12" x14ac:dyDescent="0.25">
      <c r="A61" s="37">
        <v>2028</v>
      </c>
      <c r="B61" s="4">
        <f>('VMT Ton-Mile Driver Time'!N18/'Monetized Values and Factors'!M$24)+('VMT Ton-Mile Driver Time'!N62/'Monetized Values and Factors'!$M$25)</f>
        <v>11531925.432258246</v>
      </c>
      <c r="C61" s="188">
        <f>((('VMT Ton-Mile Driver Time'!$J18*'Emissions - Truck'!AC21)+('VMT Ton-Mile Driver Time'!$K18*'Emissions - Truck'!BD21)+('VMT Ton-Mile Driver Time'!$L18*'Emissions - Truck'!AU21))/1000000)+('VMT Ton-Mile Driver Time'!$N62*'Emissions - Rail'!$C$3/1000000)</f>
        <v>65791.800389866097</v>
      </c>
      <c r="D61" s="188">
        <f>((('VMT Ton-Mile Driver Time'!$J18*'Emissions - Truck'!AD21)+('VMT Ton-Mile Driver Time'!$K18*'Emissions - Truck'!BE21)+('VMT Ton-Mile Driver Time'!$L18*'Emissions - Truck'!AV21))/1000000)+('VMT Ton-Mile Driver Time'!$N62*'Emissions - Rail'!$D$3/1000000)</f>
        <v>560.50859758226682</v>
      </c>
      <c r="E61" s="188">
        <f>((('VMT Ton-Mile Driver Time'!$J18*'Emissions - Truck'!AH21)+('VMT Ton-Mile Driver Time'!$K18*'Emissions - Truck'!BI21)+('VMT Ton-Mile Driver Time'!$L18*'Emissions - Truck'!AZ21))/1000000)+('VMT Ton-Mile Driver Time'!$N62*'Emissions - Rail'!$E$3/1000000)</f>
        <v>15.282591034525895</v>
      </c>
      <c r="F61" s="41">
        <f>((('VMT Ton-Mile Driver Time'!$J18*'Emissions - Truck'!AF21)+('VMT Ton-Mile Driver Time'!$K18*'Emissions - Truck'!BG21)+('VMT Ton-Mile Driver Time'!$L18*'Emissions - Truck'!AX21))/1000000)</f>
        <v>0.38403713427547914</v>
      </c>
      <c r="G61" s="188">
        <f>((('VMT Ton-Mile Driver Time'!$J18*'Emissions - Truck'!AG21)+('VMT Ton-Mile Driver Time'!$K18*'Emissions - Truck'!BH21)+('VMT Ton-Mile Driver Time'!$L18*'Emissions - Truck'!AY21))/1000000)</f>
        <v>1.5636806110802111</v>
      </c>
      <c r="H61" s="42">
        <f>C61*'Monetized Values and Factors'!N58</f>
        <v>65791.800389866097</v>
      </c>
      <c r="I61" s="42">
        <f>D61*'Monetized Values and Factors'!$O$34</f>
        <v>5124421.8279659944</v>
      </c>
      <c r="J61" s="42">
        <f>E61*'Monetized Values and Factors'!$O$35</f>
        <v>6359799.8264675364</v>
      </c>
      <c r="K61" s="42">
        <f>F61*'Monetized Values and Factors'!$O$36</f>
        <v>20685.526576477128</v>
      </c>
      <c r="L61" s="43">
        <f>G61*'Monetized Values and Factors'!$O$33</f>
        <v>3444.7883862097051</v>
      </c>
    </row>
    <row r="62" spans="1:12" x14ac:dyDescent="0.25">
      <c r="A62" s="37">
        <v>2029</v>
      </c>
      <c r="B62" s="4">
        <f>('VMT Ton-Mile Driver Time'!N19/'Monetized Values and Factors'!M$24)+('VMT Ton-Mile Driver Time'!N63/'Monetized Values and Factors'!$M$25)</f>
        <v>15375900.576344326</v>
      </c>
      <c r="C62" s="188">
        <f>((('VMT Ton-Mile Driver Time'!$J19*'Emissions - Truck'!AC22)+('VMT Ton-Mile Driver Time'!$K19*'Emissions - Truck'!BD22)+('VMT Ton-Mile Driver Time'!$L19*'Emissions - Truck'!AU22))/1000000)+('VMT Ton-Mile Driver Time'!$N63*'Emissions - Rail'!$C$3/1000000)</f>
        <v>87627.79798059864</v>
      </c>
      <c r="D62" s="188">
        <f>((('VMT Ton-Mile Driver Time'!$J19*'Emissions - Truck'!AD22)+('VMT Ton-Mile Driver Time'!$K19*'Emissions - Truck'!BE22)+('VMT Ton-Mile Driver Time'!$L19*'Emissions - Truck'!AV22))/1000000)+('VMT Ton-Mile Driver Time'!$N63*'Emissions - Rail'!$D$3/1000000)</f>
        <v>742.32069782464055</v>
      </c>
      <c r="E62" s="188">
        <f>((('VMT Ton-Mile Driver Time'!$J19*'Emissions - Truck'!AH22)+('VMT Ton-Mile Driver Time'!$K19*'Emissions - Truck'!BI22)+('VMT Ton-Mile Driver Time'!$L19*'Emissions - Truck'!AZ22))/1000000)+('VMT Ton-Mile Driver Time'!$N63*'Emissions - Rail'!$E$3/1000000)</f>
        <v>20.30120462187994</v>
      </c>
      <c r="F62" s="41">
        <f>((('VMT Ton-Mile Driver Time'!$J19*'Emissions - Truck'!AF22)+('VMT Ton-Mile Driver Time'!$K19*'Emissions - Truck'!BG22)+('VMT Ton-Mile Driver Time'!$L19*'Emissions - Truck'!AX22))/1000000)</f>
        <v>0.51096267343910562</v>
      </c>
      <c r="G62" s="188">
        <f>((('VMT Ton-Mile Driver Time'!$J19*'Emissions - Truck'!AG22)+('VMT Ton-Mile Driver Time'!$K19*'Emissions - Truck'!BH22)+('VMT Ton-Mile Driver Time'!$L19*'Emissions - Truck'!AY22))/1000000)</f>
        <v>1.9212059686969702</v>
      </c>
      <c r="H62" s="42">
        <f>C62*'Monetized Values and Factors'!N59</f>
        <v>87627.79798059864</v>
      </c>
      <c r="I62" s="42">
        <f>D62*'Monetized Values and Factors'!$O$34</f>
        <v>6786629.863826884</v>
      </c>
      <c r="J62" s="42">
        <f>E62*'Monetized Values and Factors'!$O$35</f>
        <v>8448279.3094200846</v>
      </c>
      <c r="K62" s="42">
        <f>F62*'Monetized Values and Factors'!$O$36</f>
        <v>27522.161316386249</v>
      </c>
      <c r="L62" s="43">
        <f>G62*'Monetized Values and Factors'!$O$33</f>
        <v>4232.4167490394257</v>
      </c>
    </row>
    <row r="63" spans="1:12" x14ac:dyDescent="0.25">
      <c r="A63" s="37">
        <v>2030</v>
      </c>
      <c r="B63" s="4">
        <f>('VMT Ton-Mile Driver Time'!N20/'Monetized Values and Factors'!M$24)+('VMT Ton-Mile Driver Time'!N64/'Monetized Values and Factors'!$M$25)</f>
        <v>19219875.720430408</v>
      </c>
      <c r="C63" s="188">
        <f>((('VMT Ton-Mile Driver Time'!$J20*'Emissions - Truck'!AC23)+('VMT Ton-Mile Driver Time'!$K20*'Emissions - Truck'!BD23)+('VMT Ton-Mile Driver Time'!$L20*'Emissions - Truck'!AU23))/1000000)+('VMT Ton-Mile Driver Time'!$N64*'Emissions - Rail'!$C$3/1000000)</f>
        <v>109416.81397163862</v>
      </c>
      <c r="D63" s="188">
        <f>((('VMT Ton-Mile Driver Time'!$J20*'Emissions - Truck'!AD23)+('VMT Ton-Mile Driver Time'!$K20*'Emissions - Truck'!BE23)+('VMT Ton-Mile Driver Time'!$L20*'Emissions - Truck'!AV23))/1000000)+('VMT Ton-Mile Driver Time'!$N64*'Emissions - Rail'!$D$3/1000000)</f>
        <v>922.35985496007379</v>
      </c>
      <c r="E63" s="188">
        <f>((('VMT Ton-Mile Driver Time'!$J20*'Emissions - Truck'!AH23)+('VMT Ton-Mile Driver Time'!$K20*'Emissions - Truck'!BI23)+('VMT Ton-Mile Driver Time'!$L20*'Emissions - Truck'!AZ23))/1000000)+('VMT Ton-Mile Driver Time'!$N64*'Emissions - Rail'!$E$3/1000000)</f>
        <v>25.294434274163315</v>
      </c>
      <c r="F63" s="41">
        <f>((('VMT Ton-Mile Driver Time'!$J20*'Emissions - Truck'!AF23)+('VMT Ton-Mile Driver Time'!$K20*'Emissions - Truck'!BG23)+('VMT Ton-Mile Driver Time'!$L20*'Emissions - Truck'!AX23))/1000000)</f>
        <v>0.63734855043029182</v>
      </c>
      <c r="G63" s="188">
        <f>((('VMT Ton-Mile Driver Time'!$J20*'Emissions - Truck'!AG23)+('VMT Ton-Mile Driver Time'!$K20*'Emissions - Truck'!BH23)+('VMT Ton-Mile Driver Time'!$L20*'Emissions - Truck'!AY23))/1000000)</f>
        <v>2.2131057244985666</v>
      </c>
      <c r="H63" s="42">
        <f>C63*'Monetized Values and Factors'!N60</f>
        <v>109416.81397163862</v>
      </c>
      <c r="I63" s="42">
        <f>D63*'Monetized Values and Factors'!$O$34</f>
        <v>8432628.8559797257</v>
      </c>
      <c r="J63" s="42">
        <f>E63*'Monetized Values and Factors'!$O$35</f>
        <v>10526195.351559957</v>
      </c>
      <c r="K63" s="42">
        <f>F63*'Monetized Values and Factors'!$O$36</f>
        <v>34329.728043819458</v>
      </c>
      <c r="L63" s="43">
        <f>G63*'Monetized Values and Factors'!$O$33</f>
        <v>4875.4719110703418</v>
      </c>
    </row>
    <row r="64" spans="1:12" x14ac:dyDescent="0.25">
      <c r="A64" s="37">
        <v>2031</v>
      </c>
      <c r="B64" s="4">
        <f>('VMT Ton-Mile Driver Time'!N21/'Monetized Values and Factors'!M$24)+('VMT Ton-Mile Driver Time'!N65/'Monetized Values and Factors'!$M$25)</f>
        <v>23063850.864516493</v>
      </c>
      <c r="C64" s="188">
        <f>((('VMT Ton-Mile Driver Time'!$J21*'Emissions - Truck'!AC24)+('VMT Ton-Mile Driver Time'!$K21*'Emissions - Truck'!BD24)+('VMT Ton-Mile Driver Time'!$L21*'Emissions - Truck'!AU24))/1000000)+('VMT Ton-Mile Driver Time'!$N65*'Emissions - Rail'!$C$3/1000000)</f>
        <v>131159.03914002673</v>
      </c>
      <c r="D64" s="188">
        <f>((('VMT Ton-Mile Driver Time'!$J21*'Emissions - Truck'!AD24)+('VMT Ton-Mile Driver Time'!$K21*'Emissions - Truck'!BE24)+('VMT Ton-Mile Driver Time'!$L21*'Emissions - Truck'!AV24))/1000000)+('VMT Ton-Mile Driver Time'!$N65*'Emissions - Rail'!$D$3/1000000)</f>
        <v>1100.9648516560178</v>
      </c>
      <c r="E64" s="188">
        <f>((('VMT Ton-Mile Driver Time'!$J21*'Emissions - Truck'!AH24)+('VMT Ton-Mile Driver Time'!$K21*'Emissions - Truck'!BI24)+('VMT Ton-Mile Driver Time'!$L21*'Emissions - Truck'!AZ24))/1000000)+('VMT Ton-Mile Driver Time'!$N65*'Emissions - Rail'!$E$3/1000000)</f>
        <v>30.267763268639154</v>
      </c>
      <c r="F64" s="41">
        <f>((('VMT Ton-Mile Driver Time'!$J21*'Emissions - Truck'!AF24)+('VMT Ton-Mile Driver Time'!$K21*'Emissions - Truck'!BG24)+('VMT Ton-Mile Driver Time'!$L21*'Emissions - Truck'!AX24))/1000000)</f>
        <v>0.76319700643380273</v>
      </c>
      <c r="G64" s="188">
        <f>((('VMT Ton-Mile Driver Time'!$J21*'Emissions - Truck'!AG24)+('VMT Ton-Mile Driver Time'!$K21*'Emissions - Truck'!BH24)+('VMT Ton-Mile Driver Time'!$L21*'Emissions - Truck'!AY24))/1000000)</f>
        <v>2.4475571327980488</v>
      </c>
      <c r="H64" s="42">
        <f>C64*'Monetized Values and Factors'!N61</f>
        <v>131159.03914002673</v>
      </c>
      <c r="I64" s="42">
        <f>D64*'Monetized Values and Factors'!$O$34</f>
        <v>10065516.108022559</v>
      </c>
      <c r="J64" s="42">
        <f>E64*'Monetized Values and Factors'!$O$35</f>
        <v>12595829.800625397</v>
      </c>
      <c r="K64" s="42">
        <f>F64*'Monetized Values and Factors'!$O$36</f>
        <v>41108.347476496165</v>
      </c>
      <c r="L64" s="43">
        <f>G64*'Monetized Values and Factors'!$O$33</f>
        <v>5391.9683635541014</v>
      </c>
    </row>
    <row r="65" spans="1:12" x14ac:dyDescent="0.25">
      <c r="A65" s="37">
        <v>2032</v>
      </c>
      <c r="B65" s="4">
        <f>('VMT Ton-Mile Driver Time'!N22/'Monetized Values and Factors'!M$24)+('VMT Ton-Mile Driver Time'!N66/'Monetized Values and Factors'!$M$25)</f>
        <v>28061018.551828399</v>
      </c>
      <c r="C65" s="188">
        <f>((('VMT Ton-Mile Driver Time'!$J22*'Emissions - Truck'!AC25)+('VMT Ton-Mile Driver Time'!$K22*'Emissions - Truck'!BD25)+('VMT Ton-Mile Driver Time'!$L22*'Emissions - Truck'!AU25))/1000000)+('VMT Ton-Mile Driver Time'!$N66*'Emissions - Rail'!$C$3/1000000)</f>
        <v>159405.57773627559</v>
      </c>
      <c r="D65" s="188">
        <f>((('VMT Ton-Mile Driver Time'!$J22*'Emissions - Truck'!AD25)+('VMT Ton-Mile Driver Time'!$K22*'Emissions - Truck'!BE25)+('VMT Ton-Mile Driver Time'!$L22*'Emissions - Truck'!AV25))/1000000)+('VMT Ton-Mile Driver Time'!$N66*'Emissions - Rail'!$D$3/1000000)</f>
        <v>1333.2085285721271</v>
      </c>
      <c r="E65" s="188">
        <f>((('VMT Ton-Mile Driver Time'!$J22*'Emissions - Truck'!AH25)+('VMT Ton-Mile Driver Time'!$K22*'Emissions - Truck'!BI25)+('VMT Ton-Mile Driver Time'!$L22*'Emissions - Truck'!AZ25))/1000000)+('VMT Ton-Mile Driver Time'!$N66*'Emissions - Rail'!$E$3/1000000)</f>
        <v>36.735341155498844</v>
      </c>
      <c r="F65" s="41">
        <f>((('VMT Ton-Mile Driver Time'!$J22*'Emissions - Truck'!AF25)+('VMT Ton-Mile Driver Time'!$K22*'Emissions - Truck'!BG25)+('VMT Ton-Mile Driver Time'!$L22*'Emissions - Truck'!AX25))/1000000)</f>
        <v>0.92658928562452925</v>
      </c>
      <c r="G65" s="188">
        <f>((('VMT Ton-Mile Driver Time'!$J22*'Emissions - Truck'!AG25)+('VMT Ton-Mile Driver Time'!$K22*'Emissions - Truck'!BH25)+('VMT Ton-Mile Driver Time'!$L22*'Emissions - Truck'!AY25))/1000000)</f>
        <v>2.7446388815876812</v>
      </c>
      <c r="H65" s="42">
        <f>C65*'Monetized Values and Factors'!N62</f>
        <v>159405.57773627559</v>
      </c>
      <c r="I65" s="42">
        <f>D65*'Monetized Values and Factors'!$O$34</f>
        <v>12188792.312044242</v>
      </c>
      <c r="J65" s="42">
        <f>E65*'Monetized Values and Factors'!$O$35</f>
        <v>15287290.99523503</v>
      </c>
      <c r="K65" s="42">
        <f>F65*'Monetized Values and Factors'!$O$36</f>
        <v>49909.20299784399</v>
      </c>
      <c r="L65" s="43">
        <f>G65*'Monetized Values and Factors'!$O$33</f>
        <v>6046.4394561376621</v>
      </c>
    </row>
    <row r="66" spans="1:12" x14ac:dyDescent="0.25">
      <c r="A66" s="37">
        <v>2033</v>
      </c>
      <c r="B66" s="4">
        <f>('VMT Ton-Mile Driver Time'!N23/'Monetized Values and Factors'!M$24)+('VMT Ton-Mile Driver Time'!N67/'Monetized Values and Factors'!$M$25)</f>
        <v>28061018.551828399</v>
      </c>
      <c r="C66" s="188">
        <f>((('VMT Ton-Mile Driver Time'!$J23*'Emissions - Truck'!AC26)+('VMT Ton-Mile Driver Time'!$K23*'Emissions - Truck'!BD26)+('VMT Ton-Mile Driver Time'!$L23*'Emissions - Truck'!AU26))/1000000)+('VMT Ton-Mile Driver Time'!$N67*'Emissions - Rail'!$C$3/1000000)</f>
        <v>159234.78750601265</v>
      </c>
      <c r="D66" s="188">
        <f>((('VMT Ton-Mile Driver Time'!$J23*'Emissions - Truck'!AD26)+('VMT Ton-Mile Driver Time'!$K23*'Emissions - Truck'!BE26)+('VMT Ton-Mile Driver Time'!$L23*'Emissions - Truck'!AV26))/1000000)+('VMT Ton-Mile Driver Time'!$N67*'Emissions - Rail'!$D$3/1000000)</f>
        <v>1327.6502613586229</v>
      </c>
      <c r="E66" s="188">
        <f>((('VMT Ton-Mile Driver Time'!$J23*'Emissions - Truck'!AH26)+('VMT Ton-Mile Driver Time'!$K23*'Emissions - Truck'!BI26)+('VMT Ton-Mile Driver Time'!$L23*'Emissions - Truck'!AZ26))/1000000)+('VMT Ton-Mile Driver Time'!$N67*'Emissions - Rail'!$E$3/1000000)</f>
        <v>36.656763990703098</v>
      </c>
      <c r="F66" s="41">
        <f>((('VMT Ton-Mile Driver Time'!$J23*'Emissions - Truck'!AF26)+('VMT Ton-Mile Driver Time'!$K23*'Emissions - Truck'!BG26)+('VMT Ton-Mile Driver Time'!$L23*'Emissions - Truck'!AX26))/1000000)</f>
        <v>0.92462765106532518</v>
      </c>
      <c r="G66" s="188">
        <f>((('VMT Ton-Mile Driver Time'!$J23*'Emissions - Truck'!AG26)+('VMT Ton-Mile Driver Time'!$K23*'Emissions - Truck'!BH26)+('VMT Ton-Mile Driver Time'!$L23*'Emissions - Truck'!AY26))/1000000)</f>
        <v>2.5298654682481625</v>
      </c>
      <c r="H66" s="42">
        <f>C66*'Monetized Values and Factors'!N63</f>
        <v>159234.78750601265</v>
      </c>
      <c r="I66" s="42">
        <f>D66*'Monetized Values and Factors'!$O$34</f>
        <v>12137976.13195814</v>
      </c>
      <c r="J66" s="42">
        <f>E66*'Monetized Values and Factors'!$O$35</f>
        <v>15254591.367409924</v>
      </c>
      <c r="K66" s="42">
        <f>F66*'Monetized Values and Factors'!$O$36</f>
        <v>49803.54278900948</v>
      </c>
      <c r="L66" s="43">
        <f>G66*'Monetized Values and Factors'!$O$33</f>
        <v>5573.2936265507024</v>
      </c>
    </row>
    <row r="67" spans="1:12" x14ac:dyDescent="0.25">
      <c r="A67" s="37">
        <v>2034</v>
      </c>
      <c r="B67" s="4">
        <f>('VMT Ton-Mile Driver Time'!N24/'Monetized Values and Factors'!M$24)+('VMT Ton-Mile Driver Time'!N68/'Monetized Values and Factors'!$M$25)</f>
        <v>28061018.551828399</v>
      </c>
      <c r="C67" s="188">
        <f>((('VMT Ton-Mile Driver Time'!$J24*'Emissions - Truck'!AC27)+('VMT Ton-Mile Driver Time'!$K24*'Emissions - Truck'!BD27)+('VMT Ton-Mile Driver Time'!$L24*'Emissions - Truck'!AU27))/1000000)+('VMT Ton-Mile Driver Time'!$N68*'Emissions - Rail'!$C$3/1000000)</f>
        <v>159064.45902592083</v>
      </c>
      <c r="D67" s="188">
        <f>((('VMT Ton-Mile Driver Time'!$J24*'Emissions - Truck'!AD27)+('VMT Ton-Mile Driver Time'!$K24*'Emissions - Truck'!BE27)+('VMT Ton-Mile Driver Time'!$L24*'Emissions - Truck'!AV27))/1000000)+('VMT Ton-Mile Driver Time'!$N68*'Emissions - Rail'!$D$3/1000000)</f>
        <v>1322.7451393890669</v>
      </c>
      <c r="E67" s="188">
        <f>((('VMT Ton-Mile Driver Time'!$J24*'Emissions - Truck'!AH27)+('VMT Ton-Mile Driver Time'!$K24*'Emissions - Truck'!BI27)+('VMT Ton-Mile Driver Time'!$L24*'Emissions - Truck'!AZ27))/1000000)+('VMT Ton-Mile Driver Time'!$N68*'Emissions - Rail'!$E$3/1000000)</f>
        <v>36.588486849868694</v>
      </c>
      <c r="F67" s="41">
        <f>((('VMT Ton-Mile Driver Time'!$J24*'Emissions - Truck'!AF27)+('VMT Ton-Mile Driver Time'!$K24*'Emissions - Truck'!BG27)+('VMT Ton-Mile Driver Time'!$L24*'Emissions - Truck'!AX27))/1000000)</f>
        <v>0.92267143824436293</v>
      </c>
      <c r="G67" s="188">
        <f>((('VMT Ton-Mile Driver Time'!$J24*'Emissions - Truck'!AG27)+('VMT Ton-Mile Driver Time'!$K24*'Emissions - Truck'!BH27)+('VMT Ton-Mile Driver Time'!$L24*'Emissions - Truck'!AY27))/1000000)</f>
        <v>2.3320680035685495</v>
      </c>
      <c r="H67" s="42">
        <f>C67*'Monetized Values and Factors'!N64</f>
        <v>159064.45902592083</v>
      </c>
      <c r="I67" s="42">
        <f>D67*'Monetized Values and Factors'!$O$34</f>
        <v>12093131.299607573</v>
      </c>
      <c r="J67" s="42">
        <f>E67*'Monetized Values and Factors'!$O$35</f>
        <v>15226178.06056625</v>
      </c>
      <c r="K67" s="42">
        <f>F67*'Monetized Values and Factors'!$O$36</f>
        <v>49698.174613159506</v>
      </c>
      <c r="L67" s="43">
        <f>G67*'Monetized Values and Factors'!$O$33</f>
        <v>5137.5458118615143</v>
      </c>
    </row>
    <row r="68" spans="1:12" x14ac:dyDescent="0.25">
      <c r="A68" s="37">
        <v>2035</v>
      </c>
      <c r="B68" s="4">
        <f>('VMT Ton-Mile Driver Time'!N25/'Monetized Values and Factors'!M$24)+('VMT Ton-Mile Driver Time'!N69/'Monetized Values and Factors'!$M$25)</f>
        <v>28061018.551828399</v>
      </c>
      <c r="C68" s="188">
        <f>((('VMT Ton-Mile Driver Time'!$J25*'Emissions - Truck'!AC28)+('VMT Ton-Mile Driver Time'!$K25*'Emissions - Truck'!BD28)+('VMT Ton-Mile Driver Time'!$L25*'Emissions - Truck'!AU28))/1000000)+('VMT Ton-Mile Driver Time'!$N69*'Emissions - Rail'!$C$3/1000000)</f>
        <v>158894.59106232115</v>
      </c>
      <c r="D68" s="188">
        <f>((('VMT Ton-Mile Driver Time'!$J25*'Emissions - Truck'!AD28)+('VMT Ton-Mile Driver Time'!$K25*'Emissions - Truck'!BE28)+('VMT Ton-Mile Driver Time'!$L25*'Emissions - Truck'!AV28))/1000000)+('VMT Ton-Mile Driver Time'!$N69*'Emissions - Rail'!$D$3/1000000)</f>
        <v>1318.4161879818523</v>
      </c>
      <c r="E68" s="188">
        <f>((('VMT Ton-Mile Driver Time'!$J25*'Emissions - Truck'!AH28)+('VMT Ton-Mile Driver Time'!$K25*'Emissions - Truck'!BI28)+('VMT Ton-Mile Driver Time'!$L25*'Emissions - Truck'!AZ28))/1000000)+('VMT Ton-Mile Driver Time'!$N69*'Emissions - Rail'!$E$3/1000000)</f>
        <v>36.529155310886388</v>
      </c>
      <c r="F68" s="41">
        <f>((('VMT Ton-Mile Driver Time'!$J25*'Emissions - Truck'!AF28)+('VMT Ton-Mile Driver Time'!$K25*'Emissions - Truck'!BG28)+('VMT Ton-Mile Driver Time'!$L25*'Emissions - Truck'!AX28))/1000000)</f>
        <v>0.92072063130297455</v>
      </c>
      <c r="G68" s="188">
        <f>((('VMT Ton-Mile Driver Time'!$J25*'Emissions - Truck'!AG28)+('VMT Ton-Mile Driver Time'!$K25*'Emissions - Truck'!BH28)+('VMT Ton-Mile Driver Time'!$L25*'Emissions - Truck'!AY28))/1000000)</f>
        <v>2.1498921421161605</v>
      </c>
      <c r="H68" s="42">
        <f>C68*'Monetized Values and Factors'!N65</f>
        <v>317789.18212464231</v>
      </c>
      <c r="I68" s="42">
        <f>D68*'Monetized Values and Factors'!$O$34</f>
        <v>12053554.077814685</v>
      </c>
      <c r="J68" s="42">
        <f>E68*'Monetized Values and Factors'!$O$35</f>
        <v>15201487.436412843</v>
      </c>
      <c r="K68" s="42">
        <f>F68*'Monetized Values and Factors'!$O$36</f>
        <v>49593.097616093073</v>
      </c>
      <c r="L68" s="43">
        <f>G68*'Monetized Values and Factors'!$O$33</f>
        <v>4736.2123890819021</v>
      </c>
    </row>
    <row r="69" spans="1:12" x14ac:dyDescent="0.25">
      <c r="A69" s="37">
        <v>2036</v>
      </c>
      <c r="B69" s="4">
        <f>('VMT Ton-Mile Driver Time'!N26/'Monetized Values and Factors'!M$24)+('VMT Ton-Mile Driver Time'!N70/'Monetized Values and Factors'!$M$25)</f>
        <v>28061018.551828399</v>
      </c>
      <c r="C69" s="188">
        <f>((('VMT Ton-Mile Driver Time'!$J26*'Emissions - Truck'!AC29)+('VMT Ton-Mile Driver Time'!$K26*'Emissions - Truck'!BD29)+('VMT Ton-Mile Driver Time'!$L26*'Emissions - Truck'!AU29))/1000000)+('VMT Ton-Mile Driver Time'!$N70*'Emissions - Rail'!$C$3/1000000)</f>
        <v>158725.18238483637</v>
      </c>
      <c r="D69" s="188">
        <f>((('VMT Ton-Mile Driver Time'!$J26*'Emissions - Truck'!AD29)+('VMT Ton-Mile Driver Time'!$K26*'Emissions - Truck'!BE29)+('VMT Ton-Mile Driver Time'!$L26*'Emissions - Truck'!AV29))/1000000)+('VMT Ton-Mile Driver Time'!$N70*'Emissions - Rail'!$D$3/1000000)</f>
        <v>1314.5955295442382</v>
      </c>
      <c r="E69" s="188">
        <f>((('VMT Ton-Mile Driver Time'!$J26*'Emissions - Truck'!AH29)+('VMT Ton-Mile Driver Time'!$K26*'Emissions - Truck'!BI29)+('VMT Ton-Mile Driver Time'!$L26*'Emissions - Truck'!AZ29))/1000000)+('VMT Ton-Mile Driver Time'!$N70*'Emissions - Rail'!$E$3/1000000)</f>
        <v>36.477593587976997</v>
      </c>
      <c r="F69" s="41">
        <f>((('VMT Ton-Mile Driver Time'!$J26*'Emissions - Truck'!AF29)+('VMT Ton-Mile Driver Time'!$K26*'Emissions - Truck'!BG29)+('VMT Ton-Mile Driver Time'!$L26*'Emissions - Truck'!AX29))/1000000)</f>
        <v>0.91877521442950005</v>
      </c>
      <c r="G69" s="188">
        <f>((('VMT Ton-Mile Driver Time'!$J26*'Emissions - Truck'!AG29)+('VMT Ton-Mile Driver Time'!$K26*'Emissions - Truck'!BH29)+('VMT Ton-Mile Driver Time'!$L26*'Emissions - Truck'!AY29))/1000000)</f>
        <v>1.9820925078259999</v>
      </c>
      <c r="H69" s="42">
        <f>C69*'Monetized Values and Factors'!N66</f>
        <v>317450.36476967274</v>
      </c>
      <c r="I69" s="42">
        <f>D69*'Monetized Values and Factors'!$O$34</f>
        <v>12018623.899081718</v>
      </c>
      <c r="J69" s="42">
        <f>E69*'Monetized Values and Factors'!$O$35</f>
        <v>15180030.195577785</v>
      </c>
      <c r="K69" s="42">
        <f>F69*'Monetized Values and Factors'!$O$36</f>
        <v>49488.31094614121</v>
      </c>
      <c r="L69" s="43">
        <f>G69*'Monetized Values and Factors'!$O$33</f>
        <v>4366.5497947406775</v>
      </c>
    </row>
    <row r="70" spans="1:12" x14ac:dyDescent="0.25">
      <c r="A70" s="37">
        <v>2037</v>
      </c>
      <c r="B70" s="4">
        <f>('VMT Ton-Mile Driver Time'!N27/'Monetized Values and Factors'!M$24)+('VMT Ton-Mile Driver Time'!N71/'Monetized Values and Factors'!$M$25)</f>
        <v>28061018.551828399</v>
      </c>
      <c r="C70" s="188">
        <f>((('VMT Ton-Mile Driver Time'!$J27*'Emissions - Truck'!AC30)+('VMT Ton-Mile Driver Time'!$K27*'Emissions - Truck'!BD30)+('VMT Ton-Mile Driver Time'!$L27*'Emissions - Truck'!AU30))/1000000)+('VMT Ton-Mile Driver Time'!$N71*'Emissions - Rail'!$C$3/1000000)</f>
        <v>158725.18238483637</v>
      </c>
      <c r="D70" s="188">
        <f>((('VMT Ton-Mile Driver Time'!$J27*'Emissions - Truck'!AD30)+('VMT Ton-Mile Driver Time'!$K27*'Emissions - Truck'!BE30)+('VMT Ton-Mile Driver Time'!$L27*'Emissions - Truck'!AV30))/1000000)+('VMT Ton-Mile Driver Time'!$N71*'Emissions - Rail'!$D$3/1000000)</f>
        <v>1314.5955295442382</v>
      </c>
      <c r="E70" s="188">
        <f>((('VMT Ton-Mile Driver Time'!$J27*'Emissions - Truck'!AH30)+('VMT Ton-Mile Driver Time'!$K27*'Emissions - Truck'!BI30)+('VMT Ton-Mile Driver Time'!$L27*'Emissions - Truck'!AZ30))/1000000)+('VMT Ton-Mile Driver Time'!$N71*'Emissions - Rail'!$E$3/1000000)</f>
        <v>36.477593587976997</v>
      </c>
      <c r="F70" s="41">
        <f>((('VMT Ton-Mile Driver Time'!$J27*'Emissions - Truck'!AF30)+('VMT Ton-Mile Driver Time'!$K27*'Emissions - Truck'!BG30)+('VMT Ton-Mile Driver Time'!$L27*'Emissions - Truck'!AX30))/1000000)</f>
        <v>0.91877521442950005</v>
      </c>
      <c r="G70" s="188">
        <f>((('VMT Ton-Mile Driver Time'!$J27*'Emissions - Truck'!AG30)+('VMT Ton-Mile Driver Time'!$K27*'Emissions - Truck'!BH30)+('VMT Ton-Mile Driver Time'!$L27*'Emissions - Truck'!AY30))/1000000)</f>
        <v>1.9820925078259999</v>
      </c>
      <c r="H70" s="42">
        <f>C70*'Monetized Values and Factors'!N67</f>
        <v>317450.36476967274</v>
      </c>
      <c r="I70" s="42">
        <f>D70*'Monetized Values and Factors'!$O$34</f>
        <v>12018623.899081718</v>
      </c>
      <c r="J70" s="42">
        <f>E70*'Monetized Values and Factors'!$O$35</f>
        <v>15180030.195577785</v>
      </c>
      <c r="K70" s="42">
        <f>F70*'Monetized Values and Factors'!$O$36</f>
        <v>49488.31094614121</v>
      </c>
      <c r="L70" s="43">
        <f>G70*'Monetized Values and Factors'!$O$33</f>
        <v>4366.5497947406775</v>
      </c>
    </row>
    <row r="71" spans="1:12" x14ac:dyDescent="0.25">
      <c r="A71" s="37">
        <v>2038</v>
      </c>
      <c r="B71" s="4">
        <f>('VMT Ton-Mile Driver Time'!N28/'Monetized Values and Factors'!M$24)+('VMT Ton-Mile Driver Time'!N72/'Monetized Values and Factors'!$M$25)</f>
        <v>28061018.551828399</v>
      </c>
      <c r="C71" s="188">
        <f>((('VMT Ton-Mile Driver Time'!$J28*'Emissions - Truck'!AC31)+('VMT Ton-Mile Driver Time'!$K28*'Emissions - Truck'!BD31)+('VMT Ton-Mile Driver Time'!$L28*'Emissions - Truck'!AU31))/1000000)+('VMT Ton-Mile Driver Time'!$N72*'Emissions - Rail'!$C$3/1000000)</f>
        <v>158725.18238483637</v>
      </c>
      <c r="D71" s="188">
        <f>((('VMT Ton-Mile Driver Time'!$J28*'Emissions - Truck'!AD31)+('VMT Ton-Mile Driver Time'!$K28*'Emissions - Truck'!BE31)+('VMT Ton-Mile Driver Time'!$L28*'Emissions - Truck'!AV31))/1000000)+('VMT Ton-Mile Driver Time'!$N72*'Emissions - Rail'!$D$3/1000000)</f>
        <v>1314.5955295442382</v>
      </c>
      <c r="E71" s="188">
        <f>((('VMT Ton-Mile Driver Time'!$J28*'Emissions - Truck'!AH31)+('VMT Ton-Mile Driver Time'!$K28*'Emissions - Truck'!BI31)+('VMT Ton-Mile Driver Time'!$L28*'Emissions - Truck'!AZ31))/1000000)+('VMT Ton-Mile Driver Time'!$N72*'Emissions - Rail'!$E$3/1000000)</f>
        <v>36.477593587976997</v>
      </c>
      <c r="F71" s="41">
        <f>((('VMT Ton-Mile Driver Time'!$J28*'Emissions - Truck'!AF31)+('VMT Ton-Mile Driver Time'!$K28*'Emissions - Truck'!BG31)+('VMT Ton-Mile Driver Time'!$L28*'Emissions - Truck'!AX31))/1000000)</f>
        <v>0.91877521442950005</v>
      </c>
      <c r="G71" s="188">
        <f>((('VMT Ton-Mile Driver Time'!$J28*'Emissions - Truck'!AG31)+('VMT Ton-Mile Driver Time'!$K28*'Emissions - Truck'!BH31)+('VMT Ton-Mile Driver Time'!$L28*'Emissions - Truck'!AY31))/1000000)</f>
        <v>1.9820925078259999</v>
      </c>
      <c r="H71" s="42">
        <f>C71*'Monetized Values and Factors'!N68</f>
        <v>317450.36476967274</v>
      </c>
      <c r="I71" s="42">
        <f>D71*'Monetized Values and Factors'!$O$34</f>
        <v>12018623.899081718</v>
      </c>
      <c r="J71" s="42">
        <f>E71*'Monetized Values and Factors'!$O$35</f>
        <v>15180030.195577785</v>
      </c>
      <c r="K71" s="42">
        <f>F71*'Monetized Values and Factors'!$O$36</f>
        <v>49488.31094614121</v>
      </c>
      <c r="L71" s="43">
        <f>G71*'Monetized Values and Factors'!$O$33</f>
        <v>4366.5497947406775</v>
      </c>
    </row>
    <row r="72" spans="1:12" x14ac:dyDescent="0.25">
      <c r="A72" s="37">
        <v>2039</v>
      </c>
      <c r="B72" s="4">
        <f>('VMT Ton-Mile Driver Time'!N29/'Monetized Values and Factors'!M$24)+('VMT Ton-Mile Driver Time'!N73/'Monetized Values and Factors'!$M$25)</f>
        <v>28061018.551828399</v>
      </c>
      <c r="C72" s="188">
        <f>((('VMT Ton-Mile Driver Time'!$J29*'Emissions - Truck'!AC32)+('VMT Ton-Mile Driver Time'!$K29*'Emissions - Truck'!BD32)+('VMT Ton-Mile Driver Time'!$L29*'Emissions - Truck'!AU32))/1000000)+('VMT Ton-Mile Driver Time'!$N73*'Emissions - Rail'!$C$3/1000000)</f>
        <v>158725.18238483637</v>
      </c>
      <c r="D72" s="188">
        <f>((('VMT Ton-Mile Driver Time'!$J29*'Emissions - Truck'!AD32)+('VMT Ton-Mile Driver Time'!$K29*'Emissions - Truck'!BE32)+('VMT Ton-Mile Driver Time'!$L29*'Emissions - Truck'!AV32))/1000000)+('VMT Ton-Mile Driver Time'!$N73*'Emissions - Rail'!$D$3/1000000)</f>
        <v>1314.5955295442382</v>
      </c>
      <c r="E72" s="188">
        <f>((('VMT Ton-Mile Driver Time'!$J29*'Emissions - Truck'!AH32)+('VMT Ton-Mile Driver Time'!$K29*'Emissions - Truck'!BI32)+('VMT Ton-Mile Driver Time'!$L29*'Emissions - Truck'!AZ32))/1000000)+('VMT Ton-Mile Driver Time'!$N73*'Emissions - Rail'!$E$3/1000000)</f>
        <v>36.477593587976997</v>
      </c>
      <c r="F72" s="41">
        <f>((('VMT Ton-Mile Driver Time'!$J29*'Emissions - Truck'!AF32)+('VMT Ton-Mile Driver Time'!$K29*'Emissions - Truck'!BG32)+('VMT Ton-Mile Driver Time'!$L29*'Emissions - Truck'!AX32))/1000000)</f>
        <v>0.91877521442950005</v>
      </c>
      <c r="G72" s="188">
        <f>((('VMT Ton-Mile Driver Time'!$J29*'Emissions - Truck'!AG32)+('VMT Ton-Mile Driver Time'!$K29*'Emissions - Truck'!BH32)+('VMT Ton-Mile Driver Time'!$L29*'Emissions - Truck'!AY32))/1000000)</f>
        <v>1.9820925078259999</v>
      </c>
      <c r="H72" s="42">
        <f>C72*'Monetized Values and Factors'!N69</f>
        <v>317450.36476967274</v>
      </c>
      <c r="I72" s="42">
        <f>D72*'Monetized Values and Factors'!$O$34</f>
        <v>12018623.899081718</v>
      </c>
      <c r="J72" s="42">
        <f>E72*'Monetized Values and Factors'!$O$35</f>
        <v>15180030.195577785</v>
      </c>
      <c r="K72" s="42">
        <f>F72*'Monetized Values and Factors'!$O$36</f>
        <v>49488.31094614121</v>
      </c>
      <c r="L72" s="43">
        <f>G72*'Monetized Values and Factors'!$O$33</f>
        <v>4366.5497947406775</v>
      </c>
    </row>
    <row r="73" spans="1:12" x14ac:dyDescent="0.25">
      <c r="A73" s="37">
        <v>2040</v>
      </c>
      <c r="B73" s="4">
        <f>('VMT Ton-Mile Driver Time'!N30/'Monetized Values and Factors'!M$24)+('VMT Ton-Mile Driver Time'!N74/'Monetized Values and Factors'!$M$25)</f>
        <v>28061018.551828399</v>
      </c>
      <c r="C73" s="188">
        <f>((('VMT Ton-Mile Driver Time'!$J30*'Emissions - Truck'!AC33)+('VMT Ton-Mile Driver Time'!$K30*'Emissions - Truck'!BD33)+('VMT Ton-Mile Driver Time'!$L30*'Emissions - Truck'!AU33))/1000000)+('VMT Ton-Mile Driver Time'!$N74*'Emissions - Rail'!$C$3/1000000)</f>
        <v>158725.18238483637</v>
      </c>
      <c r="D73" s="188">
        <f>((('VMT Ton-Mile Driver Time'!$J30*'Emissions - Truck'!AD33)+('VMT Ton-Mile Driver Time'!$K30*'Emissions - Truck'!BE33)+('VMT Ton-Mile Driver Time'!$L30*'Emissions - Truck'!AV33))/1000000)+('VMT Ton-Mile Driver Time'!$N74*'Emissions - Rail'!$D$3/1000000)</f>
        <v>1314.5955295442382</v>
      </c>
      <c r="E73" s="188">
        <f>((('VMT Ton-Mile Driver Time'!$J30*'Emissions - Truck'!AH33)+('VMT Ton-Mile Driver Time'!$K30*'Emissions - Truck'!BI33)+('VMT Ton-Mile Driver Time'!$L30*'Emissions - Truck'!AZ33))/1000000)+('VMT Ton-Mile Driver Time'!$N74*'Emissions - Rail'!$E$3/1000000)</f>
        <v>36.477593587976997</v>
      </c>
      <c r="F73" s="41">
        <f>((('VMT Ton-Mile Driver Time'!$J30*'Emissions - Truck'!AF33)+('VMT Ton-Mile Driver Time'!$K30*'Emissions - Truck'!BG33)+('VMT Ton-Mile Driver Time'!$L30*'Emissions - Truck'!AX33))/1000000)</f>
        <v>0.91877521442950005</v>
      </c>
      <c r="G73" s="188">
        <f>((('VMT Ton-Mile Driver Time'!$J30*'Emissions - Truck'!AG33)+('VMT Ton-Mile Driver Time'!$K30*'Emissions - Truck'!BH33)+('VMT Ton-Mile Driver Time'!$L30*'Emissions - Truck'!AY33))/1000000)</f>
        <v>1.9820925078259999</v>
      </c>
      <c r="H73" s="42">
        <f>C73*'Monetized Values and Factors'!N70</f>
        <v>317450.36476967274</v>
      </c>
      <c r="I73" s="42">
        <f>D73*'Monetized Values and Factors'!$O$34</f>
        <v>12018623.899081718</v>
      </c>
      <c r="J73" s="42">
        <f>E73*'Monetized Values and Factors'!$O$35</f>
        <v>15180030.195577785</v>
      </c>
      <c r="K73" s="42">
        <f>F73*'Monetized Values and Factors'!$O$36</f>
        <v>49488.31094614121</v>
      </c>
      <c r="L73" s="43">
        <f>G73*'Monetized Values and Factors'!$O$33</f>
        <v>4366.5497947406775</v>
      </c>
    </row>
    <row r="74" spans="1:12" x14ac:dyDescent="0.25">
      <c r="A74" s="37">
        <v>2041</v>
      </c>
      <c r="B74" s="4">
        <f>('VMT Ton-Mile Driver Time'!N31/'Monetized Values and Factors'!M$24)+('VMT Ton-Mile Driver Time'!N75/'Monetized Values and Factors'!$M$25)</f>
        <v>28061018.551828399</v>
      </c>
      <c r="C74" s="188">
        <f>((('VMT Ton-Mile Driver Time'!$J31*'Emissions - Truck'!AC34)+('VMT Ton-Mile Driver Time'!$K31*'Emissions - Truck'!BD34)+('VMT Ton-Mile Driver Time'!$L31*'Emissions - Truck'!AU34))/1000000)+('VMT Ton-Mile Driver Time'!$N75*'Emissions - Rail'!$C$3/1000000)</f>
        <v>158725.18238483637</v>
      </c>
      <c r="D74" s="188">
        <f>((('VMT Ton-Mile Driver Time'!$J31*'Emissions - Truck'!AD34)+('VMT Ton-Mile Driver Time'!$K31*'Emissions - Truck'!BE34)+('VMT Ton-Mile Driver Time'!$L31*'Emissions - Truck'!AV34))/1000000)+('VMT Ton-Mile Driver Time'!$N75*'Emissions - Rail'!$D$3/1000000)</f>
        <v>1314.5955295442382</v>
      </c>
      <c r="E74" s="188">
        <f>((('VMT Ton-Mile Driver Time'!$J31*'Emissions - Truck'!AH34)+('VMT Ton-Mile Driver Time'!$K31*'Emissions - Truck'!BI34)+('VMT Ton-Mile Driver Time'!$L31*'Emissions - Truck'!AZ34))/1000000)+('VMT Ton-Mile Driver Time'!$N75*'Emissions - Rail'!$E$3/1000000)</f>
        <v>36.477593587976997</v>
      </c>
      <c r="F74" s="41">
        <f>((('VMT Ton-Mile Driver Time'!$J31*'Emissions - Truck'!AF34)+('VMT Ton-Mile Driver Time'!$K31*'Emissions - Truck'!BG34)+('VMT Ton-Mile Driver Time'!$L31*'Emissions - Truck'!AX34))/1000000)</f>
        <v>0.91877521442950005</v>
      </c>
      <c r="G74" s="188">
        <f>((('VMT Ton-Mile Driver Time'!$J31*'Emissions - Truck'!AG34)+('VMT Ton-Mile Driver Time'!$K31*'Emissions - Truck'!BH34)+('VMT Ton-Mile Driver Time'!$L31*'Emissions - Truck'!AY34))/1000000)</f>
        <v>1.9820925078259999</v>
      </c>
      <c r="H74" s="42">
        <f>C74*'Monetized Values and Factors'!N71</f>
        <v>317450.36476967274</v>
      </c>
      <c r="I74" s="42">
        <f>D74*'Monetized Values and Factors'!$O$34</f>
        <v>12018623.899081718</v>
      </c>
      <c r="J74" s="42">
        <f>E74*'Monetized Values and Factors'!$O$35</f>
        <v>15180030.195577785</v>
      </c>
      <c r="K74" s="42">
        <f>F74*'Monetized Values and Factors'!$O$36</f>
        <v>49488.31094614121</v>
      </c>
      <c r="L74" s="43">
        <f>G74*'Monetized Values and Factors'!$O$33</f>
        <v>4366.5497947406775</v>
      </c>
    </row>
    <row r="75" spans="1:12" x14ac:dyDescent="0.25">
      <c r="A75" s="37">
        <v>2042</v>
      </c>
      <c r="B75" s="4">
        <f>('VMT Ton-Mile Driver Time'!N32/'Monetized Values and Factors'!M$24)+('VMT Ton-Mile Driver Time'!N76/'Monetized Values and Factors'!$M$25)</f>
        <v>28061018.551828399</v>
      </c>
      <c r="C75" s="188">
        <f>((('VMT Ton-Mile Driver Time'!$J32*'Emissions - Truck'!AC35)+('VMT Ton-Mile Driver Time'!$K32*'Emissions - Truck'!BD35)+('VMT Ton-Mile Driver Time'!$L32*'Emissions - Truck'!AU35))/1000000)+('VMT Ton-Mile Driver Time'!$N76*'Emissions - Rail'!$C$3/1000000)</f>
        <v>158725.18238483637</v>
      </c>
      <c r="D75" s="188">
        <f>((('VMT Ton-Mile Driver Time'!$J32*'Emissions - Truck'!AD35)+('VMT Ton-Mile Driver Time'!$K32*'Emissions - Truck'!BE35)+('VMT Ton-Mile Driver Time'!$L32*'Emissions - Truck'!AV35))/1000000)+('VMT Ton-Mile Driver Time'!$N76*'Emissions - Rail'!$D$3/1000000)</f>
        <v>1314.5955295442382</v>
      </c>
      <c r="E75" s="188">
        <f>((('VMT Ton-Mile Driver Time'!$J32*'Emissions - Truck'!AH35)+('VMT Ton-Mile Driver Time'!$K32*'Emissions - Truck'!BI35)+('VMT Ton-Mile Driver Time'!$L32*'Emissions - Truck'!AZ35))/1000000)+('VMT Ton-Mile Driver Time'!$N76*'Emissions - Rail'!$E$3/1000000)</f>
        <v>36.477593587976997</v>
      </c>
      <c r="F75" s="41">
        <f>((('VMT Ton-Mile Driver Time'!$J32*'Emissions - Truck'!AF35)+('VMT Ton-Mile Driver Time'!$K32*'Emissions - Truck'!BG35)+('VMT Ton-Mile Driver Time'!$L32*'Emissions - Truck'!AX35))/1000000)</f>
        <v>0.91877521442950005</v>
      </c>
      <c r="G75" s="188">
        <f>((('VMT Ton-Mile Driver Time'!$J32*'Emissions - Truck'!AG35)+('VMT Ton-Mile Driver Time'!$K32*'Emissions - Truck'!BH35)+('VMT Ton-Mile Driver Time'!$L32*'Emissions - Truck'!AY35))/1000000)</f>
        <v>1.9820925078259999</v>
      </c>
      <c r="H75" s="42">
        <f>C75*'Monetized Values and Factors'!N72</f>
        <v>317450.36476967274</v>
      </c>
      <c r="I75" s="42">
        <f>D75*'Monetized Values and Factors'!$O$34</f>
        <v>12018623.899081718</v>
      </c>
      <c r="J75" s="42">
        <f>E75*'Monetized Values and Factors'!$O$35</f>
        <v>15180030.195577785</v>
      </c>
      <c r="K75" s="42">
        <f>F75*'Monetized Values and Factors'!$O$36</f>
        <v>49488.31094614121</v>
      </c>
      <c r="L75" s="43">
        <f>G75*'Monetized Values and Factors'!$O$33</f>
        <v>4366.5497947406775</v>
      </c>
    </row>
    <row r="76" spans="1:12" x14ac:dyDescent="0.25">
      <c r="A76" s="37">
        <v>2043</v>
      </c>
      <c r="B76" s="4">
        <f>('VMT Ton-Mile Driver Time'!N33/'Monetized Values and Factors'!M$24)+('VMT Ton-Mile Driver Time'!N77/'Monetized Values and Factors'!$M$25)</f>
        <v>28061018.551828399</v>
      </c>
      <c r="C76" s="188">
        <f>((('VMT Ton-Mile Driver Time'!$J33*'Emissions - Truck'!AC36)+('VMT Ton-Mile Driver Time'!$K33*'Emissions - Truck'!BD36)+('VMT Ton-Mile Driver Time'!$L33*'Emissions - Truck'!AU36))/1000000)+('VMT Ton-Mile Driver Time'!$N77*'Emissions - Rail'!$C$3/1000000)</f>
        <v>158725.18238483637</v>
      </c>
      <c r="D76" s="188">
        <f>((('VMT Ton-Mile Driver Time'!$J33*'Emissions - Truck'!AD36)+('VMT Ton-Mile Driver Time'!$K33*'Emissions - Truck'!BE36)+('VMT Ton-Mile Driver Time'!$L33*'Emissions - Truck'!AV36))/1000000)+('VMT Ton-Mile Driver Time'!$N77*'Emissions - Rail'!$D$3/1000000)</f>
        <v>1314.5955295442382</v>
      </c>
      <c r="E76" s="188">
        <f>((('VMT Ton-Mile Driver Time'!$J33*'Emissions - Truck'!AH36)+('VMT Ton-Mile Driver Time'!$K33*'Emissions - Truck'!BI36)+('VMT Ton-Mile Driver Time'!$L33*'Emissions - Truck'!AZ36))/1000000)+('VMT Ton-Mile Driver Time'!$N77*'Emissions - Rail'!$E$3/1000000)</f>
        <v>36.477593587976997</v>
      </c>
      <c r="F76" s="41">
        <f>((('VMT Ton-Mile Driver Time'!$J33*'Emissions - Truck'!AF36)+('VMT Ton-Mile Driver Time'!$K33*'Emissions - Truck'!BG36)+('VMT Ton-Mile Driver Time'!$L33*'Emissions - Truck'!AX36))/1000000)</f>
        <v>0.91877521442950005</v>
      </c>
      <c r="G76" s="188">
        <f>((('VMT Ton-Mile Driver Time'!$J33*'Emissions - Truck'!AG36)+('VMT Ton-Mile Driver Time'!$K33*'Emissions - Truck'!BH36)+('VMT Ton-Mile Driver Time'!$L33*'Emissions - Truck'!AY36))/1000000)</f>
        <v>1.9820925078259999</v>
      </c>
      <c r="H76" s="42">
        <f>C76*'Monetized Values and Factors'!N73</f>
        <v>317450.36476967274</v>
      </c>
      <c r="I76" s="42">
        <f>D76*'Monetized Values and Factors'!$O$34</f>
        <v>12018623.899081718</v>
      </c>
      <c r="J76" s="42">
        <f>E76*'Monetized Values and Factors'!$O$35</f>
        <v>15180030.195577785</v>
      </c>
      <c r="K76" s="42">
        <f>F76*'Monetized Values and Factors'!$O$36</f>
        <v>49488.31094614121</v>
      </c>
      <c r="L76" s="43">
        <f>G76*'Monetized Values and Factors'!$O$33</f>
        <v>4366.5497947406775</v>
      </c>
    </row>
    <row r="77" spans="1:12" x14ac:dyDescent="0.25">
      <c r="A77" s="37">
        <v>2044</v>
      </c>
      <c r="B77" s="4">
        <f>('VMT Ton-Mile Driver Time'!N34/'Monetized Values and Factors'!M$24)+('VMT Ton-Mile Driver Time'!N78/'Monetized Values and Factors'!$M$25)</f>
        <v>28061018.551828399</v>
      </c>
      <c r="C77" s="188">
        <f>((('VMT Ton-Mile Driver Time'!$J34*'Emissions - Truck'!AC37)+('VMT Ton-Mile Driver Time'!$K34*'Emissions - Truck'!BD37)+('VMT Ton-Mile Driver Time'!$L34*'Emissions - Truck'!AU37))/1000000)+('VMT Ton-Mile Driver Time'!$N78*'Emissions - Rail'!$C$3/1000000)</f>
        <v>158725.18238483637</v>
      </c>
      <c r="D77" s="188">
        <f>((('VMT Ton-Mile Driver Time'!$J34*'Emissions - Truck'!AD37)+('VMT Ton-Mile Driver Time'!$K34*'Emissions - Truck'!BE37)+('VMT Ton-Mile Driver Time'!$L34*'Emissions - Truck'!AV37))/1000000)+('VMT Ton-Mile Driver Time'!$N78*'Emissions - Rail'!$D$3/1000000)</f>
        <v>1314.5955295442382</v>
      </c>
      <c r="E77" s="188">
        <f>((('VMT Ton-Mile Driver Time'!$J34*'Emissions - Truck'!AH37)+('VMT Ton-Mile Driver Time'!$K34*'Emissions - Truck'!BI37)+('VMT Ton-Mile Driver Time'!$L34*'Emissions - Truck'!AZ37))/1000000)+('VMT Ton-Mile Driver Time'!$N78*'Emissions - Rail'!$E$3/1000000)</f>
        <v>36.477593587976997</v>
      </c>
      <c r="F77" s="41">
        <f>((('VMT Ton-Mile Driver Time'!$J34*'Emissions - Truck'!AF37)+('VMT Ton-Mile Driver Time'!$K34*'Emissions - Truck'!BG37)+('VMT Ton-Mile Driver Time'!$L34*'Emissions - Truck'!AX37))/1000000)</f>
        <v>0.91877521442950005</v>
      </c>
      <c r="G77" s="188">
        <f>((('VMT Ton-Mile Driver Time'!$J34*'Emissions - Truck'!AG37)+('VMT Ton-Mile Driver Time'!$K34*'Emissions - Truck'!BH37)+('VMT Ton-Mile Driver Time'!$L34*'Emissions - Truck'!AY37))/1000000)</f>
        <v>1.9820925078259999</v>
      </c>
      <c r="H77" s="42">
        <f>C77*'Monetized Values and Factors'!N74</f>
        <v>317450.36476967274</v>
      </c>
      <c r="I77" s="42">
        <f>D77*'Monetized Values and Factors'!$O$34</f>
        <v>12018623.899081718</v>
      </c>
      <c r="J77" s="42">
        <f>E77*'Monetized Values and Factors'!$O$35</f>
        <v>15180030.195577785</v>
      </c>
      <c r="K77" s="42">
        <f>F77*'Monetized Values and Factors'!$O$36</f>
        <v>49488.31094614121</v>
      </c>
      <c r="L77" s="43">
        <f>G77*'Monetized Values and Factors'!$O$33</f>
        <v>4366.5497947406775</v>
      </c>
    </row>
    <row r="78" spans="1:12" x14ac:dyDescent="0.25">
      <c r="A78" s="37">
        <v>2045</v>
      </c>
      <c r="B78" s="4">
        <f>('VMT Ton-Mile Driver Time'!N35/'Monetized Values and Factors'!M$24)+('VMT Ton-Mile Driver Time'!N79/'Monetized Values and Factors'!$M$25)</f>
        <v>28061018.551828399</v>
      </c>
      <c r="C78" s="188">
        <f>((('VMT Ton-Mile Driver Time'!$J35*'Emissions - Truck'!AC38)+('VMT Ton-Mile Driver Time'!$K35*'Emissions - Truck'!BD38)+('VMT Ton-Mile Driver Time'!$L35*'Emissions - Truck'!AU38))/1000000)+('VMT Ton-Mile Driver Time'!$N79*'Emissions - Rail'!$C$3/1000000)</f>
        <v>158725.18238483637</v>
      </c>
      <c r="D78" s="188">
        <f>((('VMT Ton-Mile Driver Time'!$J35*'Emissions - Truck'!AD38)+('VMT Ton-Mile Driver Time'!$K35*'Emissions - Truck'!BE38)+('VMT Ton-Mile Driver Time'!$L35*'Emissions - Truck'!AV38))/1000000)+('VMT Ton-Mile Driver Time'!$N79*'Emissions - Rail'!$D$3/1000000)</f>
        <v>1314.5955295442382</v>
      </c>
      <c r="E78" s="188">
        <f>((('VMT Ton-Mile Driver Time'!$J35*'Emissions - Truck'!AH38)+('VMT Ton-Mile Driver Time'!$K35*'Emissions - Truck'!BI38)+('VMT Ton-Mile Driver Time'!$L35*'Emissions - Truck'!AZ38))/1000000)+('VMT Ton-Mile Driver Time'!$N79*'Emissions - Rail'!$E$3/1000000)</f>
        <v>36.477593587976997</v>
      </c>
      <c r="F78" s="41">
        <f>((('VMT Ton-Mile Driver Time'!$J35*'Emissions - Truck'!AF38)+('VMT Ton-Mile Driver Time'!$K35*'Emissions - Truck'!BG38)+('VMT Ton-Mile Driver Time'!$L35*'Emissions - Truck'!AX38))/1000000)</f>
        <v>0.91877521442950005</v>
      </c>
      <c r="G78" s="188">
        <f>((('VMT Ton-Mile Driver Time'!$J35*'Emissions - Truck'!AG38)+('VMT Ton-Mile Driver Time'!$K35*'Emissions - Truck'!BH38)+('VMT Ton-Mile Driver Time'!$L35*'Emissions - Truck'!AY38))/1000000)</f>
        <v>1.9820925078259999</v>
      </c>
      <c r="H78" s="42">
        <f>C78*'Monetized Values and Factors'!N75</f>
        <v>317450.36476967274</v>
      </c>
      <c r="I78" s="42">
        <f>D78*'Monetized Values and Factors'!$O$34</f>
        <v>12018623.899081718</v>
      </c>
      <c r="J78" s="42">
        <f>E78*'Monetized Values and Factors'!$O$35</f>
        <v>15180030.195577785</v>
      </c>
      <c r="K78" s="42">
        <f>F78*'Monetized Values and Factors'!$O$36</f>
        <v>49488.31094614121</v>
      </c>
      <c r="L78" s="43">
        <f>G78*'Monetized Values and Factors'!$O$33</f>
        <v>4366.5497947406775</v>
      </c>
    </row>
    <row r="79" spans="1:12" x14ac:dyDescent="0.25">
      <c r="A79" s="37">
        <v>2046</v>
      </c>
      <c r="B79" s="4">
        <f>('VMT Ton-Mile Driver Time'!N36/'Monetized Values and Factors'!M$24)+('VMT Ton-Mile Driver Time'!N80/'Monetized Values and Factors'!$M$25)</f>
        <v>28061018.551828399</v>
      </c>
      <c r="C79" s="188">
        <f>((('VMT Ton-Mile Driver Time'!$J36*'Emissions - Truck'!AC39)+('VMT Ton-Mile Driver Time'!$K36*'Emissions - Truck'!BD39)+('VMT Ton-Mile Driver Time'!$L36*'Emissions - Truck'!AU39))/1000000)+('VMT Ton-Mile Driver Time'!$N80*'Emissions - Rail'!$C$3/1000000)</f>
        <v>158725.18238483637</v>
      </c>
      <c r="D79" s="188">
        <f>((('VMT Ton-Mile Driver Time'!$J36*'Emissions - Truck'!AD39)+('VMT Ton-Mile Driver Time'!$K36*'Emissions - Truck'!BE39)+('VMT Ton-Mile Driver Time'!$L36*'Emissions - Truck'!AV39))/1000000)+('VMT Ton-Mile Driver Time'!$N80*'Emissions - Rail'!$D$3/1000000)</f>
        <v>1314.5955295442382</v>
      </c>
      <c r="E79" s="188">
        <f>((('VMT Ton-Mile Driver Time'!$J36*'Emissions - Truck'!AH39)+('VMT Ton-Mile Driver Time'!$K36*'Emissions - Truck'!BI39)+('VMT Ton-Mile Driver Time'!$L36*'Emissions - Truck'!AZ39))/1000000)+('VMT Ton-Mile Driver Time'!$N80*'Emissions - Rail'!$E$3/1000000)</f>
        <v>36.477593587976997</v>
      </c>
      <c r="F79" s="41">
        <f>((('VMT Ton-Mile Driver Time'!$J36*'Emissions - Truck'!AF39)+('VMT Ton-Mile Driver Time'!$K36*'Emissions - Truck'!BG39)+('VMT Ton-Mile Driver Time'!$L36*'Emissions - Truck'!AX39))/1000000)</f>
        <v>0.91877521442950005</v>
      </c>
      <c r="G79" s="188">
        <f>((('VMT Ton-Mile Driver Time'!$J36*'Emissions - Truck'!AG39)+('VMT Ton-Mile Driver Time'!$K36*'Emissions - Truck'!BH39)+('VMT Ton-Mile Driver Time'!$L36*'Emissions - Truck'!AY39))/1000000)</f>
        <v>1.9820925078259999</v>
      </c>
      <c r="H79" s="42">
        <f>C79*'Monetized Values and Factors'!N76</f>
        <v>317450.36476967274</v>
      </c>
      <c r="I79" s="42">
        <f>D79*'Monetized Values and Factors'!$O$34</f>
        <v>12018623.899081718</v>
      </c>
      <c r="J79" s="42">
        <f>E79*'Monetized Values and Factors'!$O$35</f>
        <v>15180030.195577785</v>
      </c>
      <c r="K79" s="42">
        <f>F79*'Monetized Values and Factors'!$O$36</f>
        <v>49488.31094614121</v>
      </c>
      <c r="L79" s="43">
        <f>G79*'Monetized Values and Factors'!$O$33</f>
        <v>4366.5497947406775</v>
      </c>
    </row>
    <row r="80" spans="1:12" x14ac:dyDescent="0.25">
      <c r="A80" s="37">
        <v>2047</v>
      </c>
      <c r="B80" s="4">
        <f>('VMT Ton-Mile Driver Time'!N37/'Monetized Values and Factors'!M$24)+('VMT Ton-Mile Driver Time'!N81/'Monetized Values and Factors'!$M$25)</f>
        <v>28061018.551828399</v>
      </c>
      <c r="C80" s="188">
        <f>((('VMT Ton-Mile Driver Time'!$J37*'Emissions - Truck'!AC40)+('VMT Ton-Mile Driver Time'!$K37*'Emissions - Truck'!BD40)+('VMT Ton-Mile Driver Time'!$L37*'Emissions - Truck'!AU40))/1000000)+('VMT Ton-Mile Driver Time'!$N81*'Emissions - Rail'!$C$3/1000000)</f>
        <v>158725.18238483637</v>
      </c>
      <c r="D80" s="188">
        <f>((('VMT Ton-Mile Driver Time'!$J37*'Emissions - Truck'!AD40)+('VMT Ton-Mile Driver Time'!$K37*'Emissions - Truck'!BE40)+('VMT Ton-Mile Driver Time'!$L37*'Emissions - Truck'!AV40))/1000000)+('VMT Ton-Mile Driver Time'!$N81*'Emissions - Rail'!$D$3/1000000)</f>
        <v>1314.5955295442382</v>
      </c>
      <c r="E80" s="188">
        <f>((('VMT Ton-Mile Driver Time'!$J37*'Emissions - Truck'!AH40)+('VMT Ton-Mile Driver Time'!$K37*'Emissions - Truck'!BI40)+('VMT Ton-Mile Driver Time'!$L37*'Emissions - Truck'!AZ40))/1000000)+('VMT Ton-Mile Driver Time'!$N81*'Emissions - Rail'!$E$3/1000000)</f>
        <v>36.477593587976997</v>
      </c>
      <c r="F80" s="41">
        <f>((('VMT Ton-Mile Driver Time'!$J37*'Emissions - Truck'!AF40)+('VMT Ton-Mile Driver Time'!$K37*'Emissions - Truck'!BG40)+('VMT Ton-Mile Driver Time'!$L37*'Emissions - Truck'!AX40))/1000000)</f>
        <v>0.91877521442950005</v>
      </c>
      <c r="G80" s="188">
        <f>((('VMT Ton-Mile Driver Time'!$J37*'Emissions - Truck'!AG40)+('VMT Ton-Mile Driver Time'!$K37*'Emissions - Truck'!BH40)+('VMT Ton-Mile Driver Time'!$L37*'Emissions - Truck'!AY40))/1000000)</f>
        <v>1.9820925078259999</v>
      </c>
      <c r="H80" s="42">
        <f>C80*'Monetized Values and Factors'!N77</f>
        <v>317450.36476967274</v>
      </c>
      <c r="I80" s="42">
        <f>D80*'Monetized Values and Factors'!$O$34</f>
        <v>12018623.899081718</v>
      </c>
      <c r="J80" s="42">
        <f>E80*'Monetized Values and Factors'!$O$35</f>
        <v>15180030.195577785</v>
      </c>
      <c r="K80" s="42">
        <f>F80*'Monetized Values and Factors'!$O$36</f>
        <v>49488.31094614121</v>
      </c>
      <c r="L80" s="43">
        <f>G80*'Monetized Values and Factors'!$O$33</f>
        <v>4366.5497947406775</v>
      </c>
    </row>
    <row r="81" spans="1:12" x14ac:dyDescent="0.25">
      <c r="A81" s="37">
        <v>2048</v>
      </c>
      <c r="B81" s="4">
        <f>('VMT Ton-Mile Driver Time'!N38/'Monetized Values and Factors'!M$24)+('VMT Ton-Mile Driver Time'!N82/'Monetized Values and Factors'!$M$25)</f>
        <v>28061018.551828399</v>
      </c>
      <c r="C81" s="188">
        <f>((('VMT Ton-Mile Driver Time'!$J38*'Emissions - Truck'!AC41)+('VMT Ton-Mile Driver Time'!$K38*'Emissions - Truck'!BD41)+('VMT Ton-Mile Driver Time'!$L38*'Emissions - Truck'!AU41))/1000000)+('VMT Ton-Mile Driver Time'!$N82*'Emissions - Rail'!$C$3/1000000)</f>
        <v>158725.18238483637</v>
      </c>
      <c r="D81" s="188">
        <f>((('VMT Ton-Mile Driver Time'!$J38*'Emissions - Truck'!AD41)+('VMT Ton-Mile Driver Time'!$K38*'Emissions - Truck'!BE41)+('VMT Ton-Mile Driver Time'!$L38*'Emissions - Truck'!AV41))/1000000)+('VMT Ton-Mile Driver Time'!$N82*'Emissions - Rail'!$D$3/1000000)</f>
        <v>1314.5955295442382</v>
      </c>
      <c r="E81" s="188">
        <f>((('VMT Ton-Mile Driver Time'!$J38*'Emissions - Truck'!AH41)+('VMT Ton-Mile Driver Time'!$K38*'Emissions - Truck'!BI41)+('VMT Ton-Mile Driver Time'!$L38*'Emissions - Truck'!AZ41))/1000000)+('VMT Ton-Mile Driver Time'!$N82*'Emissions - Rail'!$E$3/1000000)</f>
        <v>36.477593587976997</v>
      </c>
      <c r="F81" s="41">
        <f>((('VMT Ton-Mile Driver Time'!$J38*'Emissions - Truck'!AF41)+('VMT Ton-Mile Driver Time'!$K38*'Emissions - Truck'!BG41)+('VMT Ton-Mile Driver Time'!$L38*'Emissions - Truck'!AX41))/1000000)</f>
        <v>0.91877521442950005</v>
      </c>
      <c r="G81" s="188">
        <f>((('VMT Ton-Mile Driver Time'!$J38*'Emissions - Truck'!AG41)+('VMT Ton-Mile Driver Time'!$K38*'Emissions - Truck'!BH41)+('VMT Ton-Mile Driver Time'!$L38*'Emissions - Truck'!AY41))/1000000)</f>
        <v>1.9820925078259999</v>
      </c>
      <c r="H81" s="42">
        <f>C81*'Monetized Values and Factors'!N78</f>
        <v>317450.36476967274</v>
      </c>
      <c r="I81" s="42">
        <f>D81*'Monetized Values and Factors'!$O$34</f>
        <v>12018623.899081718</v>
      </c>
      <c r="J81" s="42">
        <f>E81*'Monetized Values and Factors'!$O$35</f>
        <v>15180030.195577785</v>
      </c>
      <c r="K81" s="42">
        <f>F81*'Monetized Values and Factors'!$O$36</f>
        <v>49488.31094614121</v>
      </c>
      <c r="L81" s="43">
        <f>G81*'Monetized Values and Factors'!$O$33</f>
        <v>4366.5497947406775</v>
      </c>
    </row>
    <row r="82" spans="1:12" x14ac:dyDescent="0.25">
      <c r="A82" s="37">
        <v>2049</v>
      </c>
      <c r="B82" s="4">
        <f>('VMT Ton-Mile Driver Time'!N39/'Monetized Values and Factors'!M$24)+('VMT Ton-Mile Driver Time'!N83/'Monetized Values and Factors'!$M$25)</f>
        <v>28061018.551828399</v>
      </c>
      <c r="C82" s="188">
        <f>((('VMT Ton-Mile Driver Time'!$J39*'Emissions - Truck'!AC42)+('VMT Ton-Mile Driver Time'!$K39*'Emissions - Truck'!BD42)+('VMT Ton-Mile Driver Time'!$L39*'Emissions - Truck'!AU42))/1000000)+('VMT Ton-Mile Driver Time'!$N83*'Emissions - Rail'!$C$3/1000000)</f>
        <v>158725.18238483637</v>
      </c>
      <c r="D82" s="188">
        <f>((('VMT Ton-Mile Driver Time'!$J39*'Emissions - Truck'!AD42)+('VMT Ton-Mile Driver Time'!$K39*'Emissions - Truck'!BE42)+('VMT Ton-Mile Driver Time'!$L39*'Emissions - Truck'!AV42))/1000000)+('VMT Ton-Mile Driver Time'!$N83*'Emissions - Rail'!$D$3/1000000)</f>
        <v>1314.5955295442382</v>
      </c>
      <c r="E82" s="188">
        <f>((('VMT Ton-Mile Driver Time'!$J39*'Emissions - Truck'!AH42)+('VMT Ton-Mile Driver Time'!$K39*'Emissions - Truck'!BI42)+('VMT Ton-Mile Driver Time'!$L39*'Emissions - Truck'!AZ42))/1000000)+('VMT Ton-Mile Driver Time'!$N83*'Emissions - Rail'!$E$3/1000000)</f>
        <v>36.477593587976997</v>
      </c>
      <c r="F82" s="41">
        <f>((('VMT Ton-Mile Driver Time'!$J39*'Emissions - Truck'!AF42)+('VMT Ton-Mile Driver Time'!$K39*'Emissions - Truck'!BG42)+('VMT Ton-Mile Driver Time'!$L39*'Emissions - Truck'!AX42))/1000000)</f>
        <v>0.91877521442950005</v>
      </c>
      <c r="G82" s="188">
        <f>((('VMT Ton-Mile Driver Time'!$J39*'Emissions - Truck'!AG42)+('VMT Ton-Mile Driver Time'!$K39*'Emissions - Truck'!BH42)+('VMT Ton-Mile Driver Time'!$L39*'Emissions - Truck'!AY42))/1000000)</f>
        <v>1.9820925078259999</v>
      </c>
      <c r="H82" s="42">
        <f>C82*'Monetized Values and Factors'!N79</f>
        <v>317450.36476967274</v>
      </c>
      <c r="I82" s="42">
        <f>D82*'Monetized Values and Factors'!$O$34</f>
        <v>12018623.899081718</v>
      </c>
      <c r="J82" s="42">
        <f>E82*'Monetized Values and Factors'!$O$35</f>
        <v>15180030.195577785</v>
      </c>
      <c r="K82" s="42">
        <f>F82*'Monetized Values and Factors'!$O$36</f>
        <v>49488.31094614121</v>
      </c>
      <c r="L82" s="43">
        <f>G82*'Monetized Values and Factors'!$O$33</f>
        <v>4366.5497947406775</v>
      </c>
    </row>
    <row r="83" spans="1:12" x14ac:dyDescent="0.25">
      <c r="A83" s="37">
        <v>2050</v>
      </c>
      <c r="B83" s="4">
        <f>('VMT Ton-Mile Driver Time'!N40/'Monetized Values and Factors'!M$24)+('VMT Ton-Mile Driver Time'!N84/'Monetized Values and Factors'!$M$25)</f>
        <v>28061018.551828399</v>
      </c>
      <c r="C83" s="188">
        <f>((('VMT Ton-Mile Driver Time'!$J40*'Emissions - Truck'!AC43)+('VMT Ton-Mile Driver Time'!$K40*'Emissions - Truck'!BD43)+('VMT Ton-Mile Driver Time'!$L40*'Emissions - Truck'!AU43))/1000000)+('VMT Ton-Mile Driver Time'!$N84*'Emissions - Rail'!$C$3/1000000)</f>
        <v>158725.18238483637</v>
      </c>
      <c r="D83" s="188">
        <f>((('VMT Ton-Mile Driver Time'!$J40*'Emissions - Truck'!AD43)+('VMT Ton-Mile Driver Time'!$K40*'Emissions - Truck'!BE43)+('VMT Ton-Mile Driver Time'!$L40*'Emissions - Truck'!AV43))/1000000)+('VMT Ton-Mile Driver Time'!$N84*'Emissions - Rail'!$D$3/1000000)</f>
        <v>1314.5955295442382</v>
      </c>
      <c r="E83" s="188">
        <f>((('VMT Ton-Mile Driver Time'!$J40*'Emissions - Truck'!AH43)+('VMT Ton-Mile Driver Time'!$K40*'Emissions - Truck'!BI43)+('VMT Ton-Mile Driver Time'!$L40*'Emissions - Truck'!AZ43))/1000000)+('VMT Ton-Mile Driver Time'!$N84*'Emissions - Rail'!$E$3/1000000)</f>
        <v>36.477593587976997</v>
      </c>
      <c r="F83" s="41">
        <f>((('VMT Ton-Mile Driver Time'!$J40*'Emissions - Truck'!AF43)+('VMT Ton-Mile Driver Time'!$K40*'Emissions - Truck'!BG43)+('VMT Ton-Mile Driver Time'!$L40*'Emissions - Truck'!AX43))/1000000)</f>
        <v>0.91877521442950005</v>
      </c>
      <c r="G83" s="188">
        <f>((('VMT Ton-Mile Driver Time'!$J40*'Emissions - Truck'!AG43)+('VMT Ton-Mile Driver Time'!$K40*'Emissions - Truck'!BH43)+('VMT Ton-Mile Driver Time'!$L40*'Emissions - Truck'!AY43))/1000000)</f>
        <v>1.9820925078259999</v>
      </c>
      <c r="H83" s="42">
        <f>C83*'Monetized Values and Factors'!N80</f>
        <v>317450.36476967274</v>
      </c>
      <c r="I83" s="42">
        <f>D83*'Monetized Values and Factors'!$O$34</f>
        <v>12018623.899081718</v>
      </c>
      <c r="J83" s="42">
        <f>E83*'Monetized Values and Factors'!$O$35</f>
        <v>15180030.195577785</v>
      </c>
      <c r="K83" s="42">
        <f>F83*'Monetized Values and Factors'!$O$36</f>
        <v>49488.31094614121</v>
      </c>
      <c r="L83" s="43">
        <f>G83*'Monetized Values and Factors'!$O$33</f>
        <v>4366.5497947406775</v>
      </c>
    </row>
    <row r="84" spans="1:12" x14ac:dyDescent="0.25">
      <c r="A84" s="37">
        <v>2051</v>
      </c>
      <c r="B84" s="4">
        <f>('VMT Ton-Mile Driver Time'!N41/'Monetized Values and Factors'!M$24)+('VMT Ton-Mile Driver Time'!N85/'Monetized Values and Factors'!$M$25)</f>
        <v>28061018.551828399</v>
      </c>
      <c r="C84" s="188">
        <f>((('VMT Ton-Mile Driver Time'!$J41*'Emissions - Truck'!AC44)+('VMT Ton-Mile Driver Time'!$K41*'Emissions - Truck'!BD44)+('VMT Ton-Mile Driver Time'!$L41*'Emissions - Truck'!AU44))/1000000)+('VMT Ton-Mile Driver Time'!$N85*'Emissions - Rail'!$C$3/1000000)</f>
        <v>158725.18238483637</v>
      </c>
      <c r="D84" s="188">
        <f>((('VMT Ton-Mile Driver Time'!$J41*'Emissions - Truck'!AD44)+('VMT Ton-Mile Driver Time'!$K41*'Emissions - Truck'!BE44)+('VMT Ton-Mile Driver Time'!$L41*'Emissions - Truck'!AV44))/1000000)+('VMT Ton-Mile Driver Time'!$N85*'Emissions - Rail'!$D$3/1000000)</f>
        <v>1314.5955295442382</v>
      </c>
      <c r="E84" s="188">
        <f>((('VMT Ton-Mile Driver Time'!$J41*'Emissions - Truck'!AH44)+('VMT Ton-Mile Driver Time'!$K41*'Emissions - Truck'!BI44)+('VMT Ton-Mile Driver Time'!$L41*'Emissions - Truck'!AZ44))/1000000)+('VMT Ton-Mile Driver Time'!$N85*'Emissions - Rail'!$E$3/1000000)</f>
        <v>36.477593587976997</v>
      </c>
      <c r="F84" s="41">
        <f>((('VMT Ton-Mile Driver Time'!$J41*'Emissions - Truck'!AF44)+('VMT Ton-Mile Driver Time'!$K41*'Emissions - Truck'!BG44)+('VMT Ton-Mile Driver Time'!$L41*'Emissions - Truck'!AX44))/1000000)</f>
        <v>0.91877521442950005</v>
      </c>
      <c r="G84" s="188">
        <f>((('VMT Ton-Mile Driver Time'!$J41*'Emissions - Truck'!AG44)+('VMT Ton-Mile Driver Time'!$K41*'Emissions - Truck'!BH44)+('VMT Ton-Mile Driver Time'!$L41*'Emissions - Truck'!AY44))/1000000)</f>
        <v>1.9820925078259999</v>
      </c>
      <c r="H84" s="42">
        <f>C84*'Monetized Values and Factors'!N81</f>
        <v>317450.36476967274</v>
      </c>
      <c r="I84" s="42">
        <f>D84*'Monetized Values and Factors'!$O$34</f>
        <v>12018623.899081718</v>
      </c>
      <c r="J84" s="42">
        <f>E84*'Monetized Values and Factors'!$O$35</f>
        <v>15180030.195577785</v>
      </c>
      <c r="K84" s="42">
        <f>F84*'Monetized Values and Factors'!$O$36</f>
        <v>49488.31094614121</v>
      </c>
      <c r="L84" s="43">
        <f>G84*'Monetized Values and Factors'!$O$33</f>
        <v>4366.5497947406775</v>
      </c>
    </row>
    <row r="85" spans="1:12" x14ac:dyDescent="0.25">
      <c r="A85" s="37">
        <v>2052</v>
      </c>
      <c r="B85" s="4">
        <f>('VMT Ton-Mile Driver Time'!N42/'Monetized Values and Factors'!M$24)+('VMT Ton-Mile Driver Time'!N86/'Monetized Values and Factors'!$M$25)</f>
        <v>28061018.551828399</v>
      </c>
      <c r="C85" s="188">
        <f>((('VMT Ton-Mile Driver Time'!$J42*'Emissions - Truck'!AC45)+('VMT Ton-Mile Driver Time'!$K42*'Emissions - Truck'!BD45)+('VMT Ton-Mile Driver Time'!$L42*'Emissions - Truck'!AU45))/1000000)+('VMT Ton-Mile Driver Time'!$N86*'Emissions - Rail'!$C$3/1000000)</f>
        <v>158725.18238483637</v>
      </c>
      <c r="D85" s="188">
        <f>((('VMT Ton-Mile Driver Time'!$J42*'Emissions - Truck'!AD45)+('VMT Ton-Mile Driver Time'!$K42*'Emissions - Truck'!BE45)+('VMT Ton-Mile Driver Time'!$L42*'Emissions - Truck'!AV45))/1000000)+('VMT Ton-Mile Driver Time'!$N86*'Emissions - Rail'!$D$3/1000000)</f>
        <v>1314.5955295442382</v>
      </c>
      <c r="E85" s="188">
        <f>((('VMT Ton-Mile Driver Time'!$J42*'Emissions - Truck'!AH45)+('VMT Ton-Mile Driver Time'!$K42*'Emissions - Truck'!BI45)+('VMT Ton-Mile Driver Time'!$L42*'Emissions - Truck'!AZ45))/1000000)+('VMT Ton-Mile Driver Time'!$N86*'Emissions - Rail'!$E$3/1000000)</f>
        <v>36.477593587976997</v>
      </c>
      <c r="F85" s="41">
        <f>((('VMT Ton-Mile Driver Time'!$J42*'Emissions - Truck'!AF45)+('VMT Ton-Mile Driver Time'!$K42*'Emissions - Truck'!BG45)+('VMT Ton-Mile Driver Time'!$L42*'Emissions - Truck'!AX45))/1000000)</f>
        <v>0.91877521442950005</v>
      </c>
      <c r="G85" s="188">
        <f>((('VMT Ton-Mile Driver Time'!$J42*'Emissions - Truck'!AG45)+('VMT Ton-Mile Driver Time'!$K42*'Emissions - Truck'!BH45)+('VMT Ton-Mile Driver Time'!$L42*'Emissions - Truck'!AY45))/1000000)</f>
        <v>1.9820925078259999</v>
      </c>
      <c r="H85" s="42">
        <f>C85*'Monetized Values and Factors'!N82</f>
        <v>317450.36476967274</v>
      </c>
      <c r="I85" s="42">
        <f>D85*'Monetized Values and Factors'!$O$34</f>
        <v>12018623.899081718</v>
      </c>
      <c r="J85" s="42">
        <f>E85*'Monetized Values and Factors'!$O$35</f>
        <v>15180030.195577785</v>
      </c>
      <c r="K85" s="42">
        <f>F85*'Monetized Values and Factors'!$O$36</f>
        <v>49488.31094614121</v>
      </c>
      <c r="L85" s="43">
        <f>G85*'Monetized Values and Factors'!$O$33</f>
        <v>4366.5497947406775</v>
      </c>
    </row>
    <row r="86" spans="1:12" ht="15.75" thickBot="1" x14ac:dyDescent="0.3">
      <c r="A86" s="44" t="s">
        <v>1</v>
      </c>
      <c r="B86" s="45">
        <f>SUM(B47:B85)</f>
        <v>687302755.76259124</v>
      </c>
      <c r="C86" s="45">
        <f t="shared" ref="C86:G86" si="2">SUM(C47:C85)</f>
        <v>3893818.6029378437</v>
      </c>
      <c r="D86" s="45">
        <f t="shared" si="2"/>
        <v>32406.088882964366</v>
      </c>
      <c r="E86" s="45">
        <f t="shared" si="2"/>
        <v>896.42514669642503</v>
      </c>
      <c r="F86" s="45">
        <f t="shared" si="2"/>
        <v>22.574207212343502</v>
      </c>
      <c r="G86" s="45">
        <f t="shared" si="2"/>
        <v>56.355434702209287</v>
      </c>
      <c r="H86" s="192">
        <f>SUM(H47:H85)</f>
        <v>6751041.2945423843</v>
      </c>
      <c r="I86" s="192">
        <f t="shared" ref="I86:K86" si="3">SUM(I47:I85)</f>
        <v>296271047.30805719</v>
      </c>
      <c r="J86" s="192">
        <f t="shared" si="3"/>
        <v>373044366.59473318</v>
      </c>
      <c r="K86" s="192">
        <f t="shared" si="3"/>
        <v>1215922.4240509821</v>
      </c>
      <c r="L86" s="193">
        <f>SUM(L47:L85)</f>
        <v>124151.02264896705</v>
      </c>
    </row>
    <row r="87" spans="1:12" ht="15.75" thickBot="1" x14ac:dyDescent="0.3"/>
    <row r="88" spans="1:12" ht="19.5" thickBot="1" x14ac:dyDescent="0.35">
      <c r="A88" s="482" t="s">
        <v>231</v>
      </c>
      <c r="B88" s="483"/>
      <c r="C88" s="483"/>
      <c r="D88" s="483"/>
      <c r="E88" s="483"/>
      <c r="F88" s="483"/>
      <c r="G88" s="483"/>
      <c r="H88" s="483"/>
      <c r="I88" s="483"/>
      <c r="J88" s="483"/>
      <c r="K88" s="483"/>
      <c r="L88" s="484"/>
    </row>
    <row r="89" spans="1:12" ht="60" x14ac:dyDescent="0.25">
      <c r="A89" s="19" t="s">
        <v>2</v>
      </c>
      <c r="B89" s="157" t="s">
        <v>94</v>
      </c>
      <c r="C89" s="157" t="s">
        <v>269</v>
      </c>
      <c r="D89" s="157" t="s">
        <v>66</v>
      </c>
      <c r="E89" s="157" t="s">
        <v>372</v>
      </c>
      <c r="F89" s="157" t="s">
        <v>223</v>
      </c>
      <c r="G89" s="157" t="s">
        <v>65</v>
      </c>
      <c r="H89" s="157" t="s">
        <v>347</v>
      </c>
      <c r="I89" s="157" t="s">
        <v>348</v>
      </c>
      <c r="J89" s="157" t="s">
        <v>371</v>
      </c>
      <c r="K89" s="157" t="s">
        <v>349</v>
      </c>
      <c r="L89" s="158" t="s">
        <v>350</v>
      </c>
    </row>
    <row r="90" spans="1:12" x14ac:dyDescent="0.25">
      <c r="A90" s="37">
        <v>2014</v>
      </c>
      <c r="B90" s="4">
        <f t="shared" ref="B90:G99" si="4">B47-B4</f>
        <v>0</v>
      </c>
      <c r="C90" s="4">
        <f t="shared" si="4"/>
        <v>0</v>
      </c>
      <c r="D90" s="4">
        <f t="shared" si="4"/>
        <v>0</v>
      </c>
      <c r="E90" s="4">
        <f t="shared" si="4"/>
        <v>0</v>
      </c>
      <c r="F90" s="4">
        <f t="shared" si="4"/>
        <v>0</v>
      </c>
      <c r="G90" s="4">
        <f t="shared" si="4"/>
        <v>0</v>
      </c>
      <c r="H90" s="42">
        <f>C90*'Monetized Values and Factors'!N44</f>
        <v>0</v>
      </c>
      <c r="I90" s="42">
        <f>D90*'Monetized Values and Factors'!$O$34</f>
        <v>0</v>
      </c>
      <c r="J90" s="42">
        <f>E90*'Monetized Values and Factors'!$O$35</f>
        <v>0</v>
      </c>
      <c r="K90" s="42">
        <f>F90*'Monetized Values and Factors'!$O$36</f>
        <v>0</v>
      </c>
      <c r="L90" s="43">
        <f>G90*'Monetized Values and Factors'!$O$33</f>
        <v>0</v>
      </c>
    </row>
    <row r="91" spans="1:12" x14ac:dyDescent="0.25">
      <c r="A91" s="37">
        <v>2015</v>
      </c>
      <c r="B91" s="4">
        <f t="shared" si="4"/>
        <v>0</v>
      </c>
      <c r="C91" s="4">
        <f t="shared" si="4"/>
        <v>0</v>
      </c>
      <c r="D91" s="4">
        <f t="shared" si="4"/>
        <v>0</v>
      </c>
      <c r="E91" s="4">
        <f t="shared" si="4"/>
        <v>0</v>
      </c>
      <c r="F91" s="4">
        <f t="shared" si="4"/>
        <v>0</v>
      </c>
      <c r="G91" s="4">
        <f t="shared" si="4"/>
        <v>0</v>
      </c>
      <c r="H91" s="42">
        <f>C91*'Monetized Values and Factors'!N45</f>
        <v>0</v>
      </c>
      <c r="I91" s="42">
        <f>D91*'Monetized Values and Factors'!$O$34</f>
        <v>0</v>
      </c>
      <c r="J91" s="42">
        <f>E91*'Monetized Values and Factors'!$O$35</f>
        <v>0</v>
      </c>
      <c r="K91" s="42">
        <f>F91*'Monetized Values and Factors'!$O$36</f>
        <v>0</v>
      </c>
      <c r="L91" s="43">
        <f>G91*'Monetized Values and Factors'!$O$33</f>
        <v>0</v>
      </c>
    </row>
    <row r="92" spans="1:12" x14ac:dyDescent="0.25">
      <c r="A92" s="37">
        <v>2016</v>
      </c>
      <c r="B92" s="4">
        <f t="shared" si="4"/>
        <v>0</v>
      </c>
      <c r="C92" s="4">
        <f t="shared" si="4"/>
        <v>0</v>
      </c>
      <c r="D92" s="4">
        <f t="shared" si="4"/>
        <v>0</v>
      </c>
      <c r="E92" s="4">
        <f t="shared" si="4"/>
        <v>0</v>
      </c>
      <c r="F92" s="4">
        <f t="shared" si="4"/>
        <v>0</v>
      </c>
      <c r="G92" s="4">
        <f t="shared" si="4"/>
        <v>0</v>
      </c>
      <c r="H92" s="42">
        <f>C92*'Monetized Values and Factors'!N46</f>
        <v>0</v>
      </c>
      <c r="I92" s="42">
        <f>D92*'Monetized Values and Factors'!$O$34</f>
        <v>0</v>
      </c>
      <c r="J92" s="42">
        <f>E92*'Monetized Values and Factors'!$O$35</f>
        <v>0</v>
      </c>
      <c r="K92" s="42">
        <f>F92*'Monetized Values and Factors'!$O$36</f>
        <v>0</v>
      </c>
      <c r="L92" s="43">
        <f>G92*'Monetized Values and Factors'!$O$33</f>
        <v>0</v>
      </c>
    </row>
    <row r="93" spans="1:12" x14ac:dyDescent="0.25">
      <c r="A93" s="37">
        <v>2017</v>
      </c>
      <c r="B93" s="4">
        <f t="shared" si="4"/>
        <v>0</v>
      </c>
      <c r="C93" s="4">
        <f t="shared" si="4"/>
        <v>0</v>
      </c>
      <c r="D93" s="4">
        <f t="shared" si="4"/>
        <v>0</v>
      </c>
      <c r="E93" s="4">
        <f t="shared" si="4"/>
        <v>0</v>
      </c>
      <c r="F93" s="4">
        <f t="shared" si="4"/>
        <v>0</v>
      </c>
      <c r="G93" s="4">
        <f t="shared" si="4"/>
        <v>0</v>
      </c>
      <c r="H93" s="42">
        <f>C93*'Monetized Values and Factors'!N47</f>
        <v>0</v>
      </c>
      <c r="I93" s="42">
        <f>D93*'Monetized Values and Factors'!$O$34</f>
        <v>0</v>
      </c>
      <c r="J93" s="42">
        <f>E93*'Monetized Values and Factors'!$O$35</f>
        <v>0</v>
      </c>
      <c r="K93" s="42">
        <f>F93*'Monetized Values and Factors'!$O$36</f>
        <v>0</v>
      </c>
      <c r="L93" s="43">
        <f>G93*'Monetized Values and Factors'!$O$33</f>
        <v>0</v>
      </c>
    </row>
    <row r="94" spans="1:12" x14ac:dyDescent="0.25">
      <c r="A94" s="37">
        <v>2018</v>
      </c>
      <c r="B94" s="4">
        <f t="shared" si="4"/>
        <v>0</v>
      </c>
      <c r="C94" s="4">
        <f t="shared" si="4"/>
        <v>0</v>
      </c>
      <c r="D94" s="4">
        <f t="shared" si="4"/>
        <v>0</v>
      </c>
      <c r="E94" s="4">
        <f t="shared" si="4"/>
        <v>0</v>
      </c>
      <c r="F94" s="4">
        <f t="shared" si="4"/>
        <v>0</v>
      </c>
      <c r="G94" s="4">
        <f t="shared" si="4"/>
        <v>0</v>
      </c>
      <c r="H94" s="42">
        <f>C94*'Monetized Values and Factors'!N48</f>
        <v>0</v>
      </c>
      <c r="I94" s="42">
        <f>D94*'Monetized Values and Factors'!$O$34</f>
        <v>0</v>
      </c>
      <c r="J94" s="42">
        <f>E94*'Monetized Values and Factors'!$O$35</f>
        <v>0</v>
      </c>
      <c r="K94" s="42">
        <f>F94*'Monetized Values and Factors'!$O$36</f>
        <v>0</v>
      </c>
      <c r="L94" s="43">
        <f>G94*'Monetized Values and Factors'!$O$33</f>
        <v>0</v>
      </c>
    </row>
    <row r="95" spans="1:12" x14ac:dyDescent="0.25">
      <c r="A95" s="37">
        <v>2019</v>
      </c>
      <c r="B95" s="4">
        <f t="shared" si="4"/>
        <v>0</v>
      </c>
      <c r="C95" s="4">
        <f t="shared" si="4"/>
        <v>0</v>
      </c>
      <c r="D95" s="4">
        <f t="shared" si="4"/>
        <v>0</v>
      </c>
      <c r="E95" s="4">
        <f t="shared" si="4"/>
        <v>0</v>
      </c>
      <c r="F95" s="4">
        <f t="shared" si="4"/>
        <v>0</v>
      </c>
      <c r="G95" s="4">
        <f t="shared" si="4"/>
        <v>0</v>
      </c>
      <c r="H95" s="42">
        <f>C95*'Monetized Values and Factors'!N49</f>
        <v>0</v>
      </c>
      <c r="I95" s="42">
        <f>D95*'Monetized Values and Factors'!$O$34</f>
        <v>0</v>
      </c>
      <c r="J95" s="42">
        <f>E95*'Monetized Values and Factors'!$O$35</f>
        <v>0</v>
      </c>
      <c r="K95" s="42">
        <f>F95*'Monetized Values and Factors'!$O$36</f>
        <v>0</v>
      </c>
      <c r="L95" s="43">
        <f>G95*'Monetized Values and Factors'!$O$33</f>
        <v>0</v>
      </c>
    </row>
    <row r="96" spans="1:12" x14ac:dyDescent="0.25">
      <c r="A96" s="37">
        <v>2020</v>
      </c>
      <c r="B96" s="4">
        <f t="shared" si="4"/>
        <v>0</v>
      </c>
      <c r="C96" s="4">
        <f t="shared" si="4"/>
        <v>0</v>
      </c>
      <c r="D96" s="4">
        <f t="shared" si="4"/>
        <v>0</v>
      </c>
      <c r="E96" s="4">
        <f t="shared" si="4"/>
        <v>0</v>
      </c>
      <c r="F96" s="4">
        <f t="shared" si="4"/>
        <v>0</v>
      </c>
      <c r="G96" s="4">
        <f t="shared" si="4"/>
        <v>0</v>
      </c>
      <c r="H96" s="42">
        <f>C96*'Monetized Values and Factors'!N50</f>
        <v>0</v>
      </c>
      <c r="I96" s="42">
        <f>D96*'Monetized Values and Factors'!$O$34</f>
        <v>0</v>
      </c>
      <c r="J96" s="42">
        <f>E96*'Monetized Values and Factors'!$O$35</f>
        <v>0</v>
      </c>
      <c r="K96" s="42">
        <f>F96*'Monetized Values and Factors'!$O$36</f>
        <v>0</v>
      </c>
      <c r="L96" s="43">
        <f>G96*'Monetized Values and Factors'!$O$33</f>
        <v>0</v>
      </c>
    </row>
    <row r="97" spans="1:12" x14ac:dyDescent="0.25">
      <c r="A97" s="37">
        <v>2021</v>
      </c>
      <c r="B97" s="4">
        <f t="shared" si="4"/>
        <v>0</v>
      </c>
      <c r="C97" s="4">
        <f t="shared" si="4"/>
        <v>0</v>
      </c>
      <c r="D97" s="4">
        <f t="shared" si="4"/>
        <v>0</v>
      </c>
      <c r="E97" s="4">
        <f t="shared" si="4"/>
        <v>0</v>
      </c>
      <c r="F97" s="4">
        <f t="shared" si="4"/>
        <v>0</v>
      </c>
      <c r="G97" s="4">
        <f t="shared" si="4"/>
        <v>0</v>
      </c>
      <c r="H97" s="42">
        <f>C97*'Monetized Values and Factors'!N51</f>
        <v>0</v>
      </c>
      <c r="I97" s="42">
        <f>D97*'Monetized Values and Factors'!$O$34</f>
        <v>0</v>
      </c>
      <c r="J97" s="42">
        <f>E97*'Monetized Values and Factors'!$O$35</f>
        <v>0</v>
      </c>
      <c r="K97" s="42">
        <f>F97*'Monetized Values and Factors'!$O$36</f>
        <v>0</v>
      </c>
      <c r="L97" s="43">
        <f>G97*'Monetized Values and Factors'!$O$33</f>
        <v>0</v>
      </c>
    </row>
    <row r="98" spans="1:12" x14ac:dyDescent="0.25">
      <c r="A98" s="37">
        <v>2022</v>
      </c>
      <c r="B98" s="4">
        <f t="shared" si="4"/>
        <v>0</v>
      </c>
      <c r="C98" s="4">
        <f t="shared" si="4"/>
        <v>0</v>
      </c>
      <c r="D98" s="4">
        <f t="shared" si="4"/>
        <v>0</v>
      </c>
      <c r="E98" s="4">
        <f t="shared" si="4"/>
        <v>0</v>
      </c>
      <c r="F98" s="4">
        <f t="shared" si="4"/>
        <v>0</v>
      </c>
      <c r="G98" s="4">
        <f t="shared" si="4"/>
        <v>0</v>
      </c>
      <c r="H98" s="42">
        <f>C98*'Monetized Values and Factors'!N52</f>
        <v>0</v>
      </c>
      <c r="I98" s="42">
        <f>D98*'Monetized Values and Factors'!$O$34</f>
        <v>0</v>
      </c>
      <c r="J98" s="42">
        <f>E98*'Monetized Values and Factors'!$O$35</f>
        <v>0</v>
      </c>
      <c r="K98" s="42">
        <f>F98*'Monetized Values and Factors'!$O$36</f>
        <v>0</v>
      </c>
      <c r="L98" s="43">
        <f>G98*'Monetized Values and Factors'!$O$33</f>
        <v>0</v>
      </c>
    </row>
    <row r="99" spans="1:12" x14ac:dyDescent="0.25">
      <c r="A99" s="37">
        <v>2023</v>
      </c>
      <c r="B99" s="4">
        <f t="shared" si="4"/>
        <v>1133422.3038612227</v>
      </c>
      <c r="C99" s="4">
        <f t="shared" si="4"/>
        <v>6463.5677193992105</v>
      </c>
      <c r="D99" s="4">
        <f t="shared" si="4"/>
        <v>61.827468207577574</v>
      </c>
      <c r="E99" s="4">
        <f t="shared" si="4"/>
        <v>1.6666636957122591</v>
      </c>
      <c r="F99" s="4">
        <f t="shared" si="4"/>
        <v>3.5974838902525938E-2</v>
      </c>
      <c r="G99" s="4">
        <f t="shared" si="4"/>
        <v>0.23424998115224321</v>
      </c>
      <c r="H99" s="42">
        <f>C99*'Monetized Values and Factors'!N53</f>
        <v>6463.5677193992105</v>
      </c>
      <c r="I99" s="42">
        <f>D99*'Monetized Values and Factors'!$O$34</f>
        <v>565254.53671436757</v>
      </c>
      <c r="J99" s="42">
        <f>E99*'Monetized Values and Factors'!$O$35</f>
        <v>693576.59698046069</v>
      </c>
      <c r="K99" s="42">
        <f>F99*'Monetized Values and Factors'!$O$36</f>
        <v>1937.7253390003705</v>
      </c>
      <c r="L99" s="43">
        <f>G99*'Monetized Values and Factors'!$O$33</f>
        <v>516.05270847839176</v>
      </c>
    </row>
    <row r="100" spans="1:12" x14ac:dyDescent="0.25">
      <c r="A100" s="37">
        <v>2024</v>
      </c>
      <c r="B100" s="4">
        <f t="shared" ref="B100:G109" si="5">B57-B14</f>
        <v>2266844.6077224454</v>
      </c>
      <c r="C100" s="4">
        <f t="shared" si="5"/>
        <v>12915.379117004757</v>
      </c>
      <c r="D100" s="4">
        <f t="shared" si="5"/>
        <v>122.29541666313827</v>
      </c>
      <c r="E100" s="4">
        <f t="shared" si="5"/>
        <v>3.3083338623488459</v>
      </c>
      <c r="F100" s="4">
        <f t="shared" si="5"/>
        <v>7.1796256171421338E-2</v>
      </c>
      <c r="G100" s="4">
        <f t="shared" si="5"/>
        <v>0.42997104101882139</v>
      </c>
      <c r="H100" s="42">
        <f>C100*'Monetized Values and Factors'!N54</f>
        <v>12915.379117004757</v>
      </c>
      <c r="I100" s="42">
        <f>D100*'Monetized Values and Factors'!$O$34</f>
        <v>1118079.7320719084</v>
      </c>
      <c r="J100" s="42">
        <f>E100*'Monetized Values and Factors'!$O$35</f>
        <v>1376752.2193147263</v>
      </c>
      <c r="K100" s="42">
        <f>F100*'Monetized Values and Factors'!$O$36</f>
        <v>3867.1868748509273</v>
      </c>
      <c r="L100" s="43">
        <f>G100*'Monetized Values and Factors'!$O$33</f>
        <v>947.22620336446357</v>
      </c>
    </row>
    <row r="101" spans="1:12" x14ac:dyDescent="0.25">
      <c r="A101" s="37">
        <v>2025</v>
      </c>
      <c r="B101" s="4">
        <f t="shared" si="5"/>
        <v>3400266.9115836686</v>
      </c>
      <c r="C101" s="4">
        <f t="shared" si="5"/>
        <v>19355.49392941039</v>
      </c>
      <c r="D101" s="4">
        <f t="shared" si="5"/>
        <v>181.64610953721558</v>
      </c>
      <c r="E101" s="4">
        <f t="shared" si="5"/>
        <v>4.9301635778753656</v>
      </c>
      <c r="F101" s="4">
        <f t="shared" si="5"/>
        <v>0.10746500353838881</v>
      </c>
      <c r="G101" s="4">
        <f t="shared" si="5"/>
        <v>0.59196539467073905</v>
      </c>
      <c r="H101" s="42">
        <f>C101*'Monetized Values and Factors'!N55</f>
        <v>19355.49392941039</v>
      </c>
      <c r="I101" s="42">
        <f>D101*'Monetized Values and Factors'!$O$34</f>
        <v>1660690.4741385165</v>
      </c>
      <c r="J101" s="42">
        <f>E101*'Monetized Values and Factors'!$O$35</f>
        <v>2051671.3033930261</v>
      </c>
      <c r="K101" s="42">
        <f>F101*'Monetized Values and Factors'!$O$36</f>
        <v>5788.425098339475</v>
      </c>
      <c r="L101" s="43">
        <f>G101*'Monetized Values and Factors'!$O$33</f>
        <v>1304.0997644596382</v>
      </c>
    </row>
    <row r="102" spans="1:12" x14ac:dyDescent="0.25">
      <c r="A102" s="37">
        <v>2026</v>
      </c>
      <c r="B102" s="4">
        <f t="shared" si="5"/>
        <v>4533689.2154448908</v>
      </c>
      <c r="C102" s="4">
        <f t="shared" si="5"/>
        <v>25783.971649539133</v>
      </c>
      <c r="D102" s="4">
        <f t="shared" si="5"/>
        <v>240.08326086602787</v>
      </c>
      <c r="E102" s="4">
        <f t="shared" si="5"/>
        <v>6.536363211278406</v>
      </c>
      <c r="F102" s="4">
        <f t="shared" si="5"/>
        <v>0.14298182939921111</v>
      </c>
      <c r="G102" s="4">
        <f t="shared" si="5"/>
        <v>0.72449891075604667</v>
      </c>
      <c r="H102" s="42">
        <f>C102*'Monetized Values and Factors'!N56</f>
        <v>25783.971649539133</v>
      </c>
      <c r="I102" s="42">
        <f>D102*'Monetized Values and Factors'!$O$34</f>
        <v>2194949.2083046162</v>
      </c>
      <c r="J102" s="42">
        <f>E102*'Monetized Values and Factors'!$O$35</f>
        <v>2720085.9803749113</v>
      </c>
      <c r="K102" s="42">
        <f>F102*'Monetized Values and Factors'!$O$36</f>
        <v>7701.4803205699973</v>
      </c>
      <c r="L102" s="43">
        <f>G102*'Monetized Values and Factors'!$O$33</f>
        <v>1596.0711003955707</v>
      </c>
    </row>
    <row r="103" spans="1:12" x14ac:dyDescent="0.25">
      <c r="A103" s="37">
        <v>2027</v>
      </c>
      <c r="B103" s="4">
        <f t="shared" si="5"/>
        <v>5667111.519306113</v>
      </c>
      <c r="C103" s="4">
        <f t="shared" si="5"/>
        <v>32200.871527537136</v>
      </c>
      <c r="D103" s="4">
        <f t="shared" si="5"/>
        <v>297.77780980139227</v>
      </c>
      <c r="E103" s="4">
        <f t="shared" si="5"/>
        <v>8.1303618736342269</v>
      </c>
      <c r="F103" s="4">
        <f t="shared" si="5"/>
        <v>0.17834747882723709</v>
      </c>
      <c r="G103" s="4">
        <f t="shared" si="5"/>
        <v>0.83135761350194015</v>
      </c>
      <c r="H103" s="42">
        <f>C103*'Monetized Values and Factors'!N57</f>
        <v>32200.871527537136</v>
      </c>
      <c r="I103" s="42">
        <f>D103*'Monetized Values and Factors'!$O$34</f>
        <v>2722418.7372187385</v>
      </c>
      <c r="J103" s="42">
        <f>E103*'Monetized Values and Factors'!$O$35</f>
        <v>3383423.2635187004</v>
      </c>
      <c r="K103" s="42">
        <f>F103*'Monetized Values and Factors'!$O$36</f>
        <v>9606.3926736890608</v>
      </c>
      <c r="L103" s="43">
        <f>G103*'Monetized Values and Factors'!$O$33</f>
        <v>1831.4808225447741</v>
      </c>
    </row>
    <row r="104" spans="1:12" x14ac:dyDescent="0.25">
      <c r="A104" s="37">
        <v>2028</v>
      </c>
      <c r="B104" s="4">
        <f t="shared" si="5"/>
        <v>6800533.8231673371</v>
      </c>
      <c r="C104" s="4">
        <f t="shared" si="5"/>
        <v>38606.252571664489</v>
      </c>
      <c r="D104" s="4">
        <f t="shared" si="5"/>
        <v>354.87286205074895</v>
      </c>
      <c r="E104" s="4">
        <f t="shared" si="5"/>
        <v>9.7149423547493612</v>
      </c>
      <c r="F104" s="4">
        <f t="shared" si="5"/>
        <v>0.21356269358681684</v>
      </c>
      <c r="G104" s="4">
        <f t="shared" si="5"/>
        <v>0.91589844511341534</v>
      </c>
      <c r="H104" s="42">
        <f>C104*'Monetized Values and Factors'!N58</f>
        <v>38606.252571664489</v>
      </c>
      <c r="I104" s="42">
        <f>D104*'Monetized Values and Factors'!$O$34</f>
        <v>3244407.3976558694</v>
      </c>
      <c r="J104" s="42">
        <f>E104*'Monetized Values and Factors'!$O$35</f>
        <v>4042841.2016191757</v>
      </c>
      <c r="K104" s="42">
        <f>F104*'Monetized Values and Factors'!$O$36</f>
        <v>11503.202111609471</v>
      </c>
      <c r="L104" s="43">
        <f>G104*'Monetized Values and Factors'!$O$33</f>
        <v>2017.7242745848539</v>
      </c>
    </row>
    <row r="105" spans="1:12" x14ac:dyDescent="0.25">
      <c r="A105" s="37">
        <v>2029</v>
      </c>
      <c r="B105" s="4">
        <f t="shared" si="5"/>
        <v>9067378.4308897816</v>
      </c>
      <c r="C105" s="4">
        <f t="shared" si="5"/>
        <v>51428.769770494837</v>
      </c>
      <c r="D105" s="4">
        <f t="shared" si="5"/>
        <v>470.27190280707453</v>
      </c>
      <c r="E105" s="4">
        <f t="shared" si="5"/>
        <v>12.905547171374977</v>
      </c>
      <c r="F105" s="4">
        <f t="shared" si="5"/>
        <v>0.28414652816764085</v>
      </c>
      <c r="G105" s="4">
        <f t="shared" si="5"/>
        <v>1.1212512653534596</v>
      </c>
      <c r="H105" s="42">
        <f>C105*'Monetized Values and Factors'!N59</f>
        <v>51428.769770494837</v>
      </c>
      <c r="I105" s="42">
        <f>D105*'Monetized Values and Factors'!$O$34</f>
        <v>4299437.3578185383</v>
      </c>
      <c r="J105" s="42">
        <f>E105*'Monetized Values and Factors'!$O$35</f>
        <v>5370600.8670620304</v>
      </c>
      <c r="K105" s="42">
        <f>F105*'Monetized Values and Factors'!$O$36</f>
        <v>15305.083897978498</v>
      </c>
      <c r="L105" s="43">
        <f>G105*'Monetized Values and Factors'!$O$33</f>
        <v>2470.1165375736714</v>
      </c>
    </row>
    <row r="106" spans="1:12" x14ac:dyDescent="0.25">
      <c r="A106" s="37">
        <v>2030</v>
      </c>
      <c r="B106" s="4">
        <f t="shared" si="5"/>
        <v>11334223.038612226</v>
      </c>
      <c r="C106" s="4">
        <f t="shared" si="5"/>
        <v>64228.366234050918</v>
      </c>
      <c r="D106" s="4">
        <f t="shared" si="5"/>
        <v>584.65308425564797</v>
      </c>
      <c r="E106" s="4">
        <f t="shared" si="5"/>
        <v>16.080506901450903</v>
      </c>
      <c r="F106" s="4">
        <f t="shared" si="5"/>
        <v>0.35443096211662101</v>
      </c>
      <c r="G106" s="4">
        <f t="shared" si="5"/>
        <v>1.2869721805484935</v>
      </c>
      <c r="H106" s="42">
        <f>C106*'Monetized Values and Factors'!N60</f>
        <v>64228.366234050918</v>
      </c>
      <c r="I106" s="42">
        <f>D106*'Monetized Values and Factors'!$O$34</f>
        <v>5345161.5901530478</v>
      </c>
      <c r="J106" s="42">
        <f>E106*'Monetized Values and Factors'!$O$35</f>
        <v>6691849.8813660182</v>
      </c>
      <c r="K106" s="42">
        <f>F106*'Monetized Values and Factors'!$O$36</f>
        <v>19090.838963324299</v>
      </c>
      <c r="L106" s="43">
        <f>G106*'Monetized Values and Factors'!$O$33</f>
        <v>2835.1997137483313</v>
      </c>
    </row>
    <row r="107" spans="1:12" x14ac:dyDescent="0.25">
      <c r="A107" s="37">
        <v>2031</v>
      </c>
      <c r="B107" s="4">
        <f t="shared" si="5"/>
        <v>13601067.646334674</v>
      </c>
      <c r="C107" s="4">
        <f t="shared" si="5"/>
        <v>77005.158898338501</v>
      </c>
      <c r="D107" s="4">
        <f t="shared" si="5"/>
        <v>698.21213563294555</v>
      </c>
      <c r="E107" s="4">
        <f t="shared" si="5"/>
        <v>19.243393969772729</v>
      </c>
      <c r="F107" s="4">
        <f t="shared" si="5"/>
        <v>0.42441746419213883</v>
      </c>
      <c r="G107" s="4">
        <f t="shared" si="5"/>
        <v>1.4182295788337196</v>
      </c>
      <c r="H107" s="42">
        <f>C107*'Monetized Values and Factors'!N61</f>
        <v>77005.158898338501</v>
      </c>
      <c r="I107" s="42">
        <f>D107*'Monetized Values and Factors'!$O$34</f>
        <v>6383369.5394174224</v>
      </c>
      <c r="J107" s="42">
        <f>E107*'Monetized Values and Factors'!$O$35</f>
        <v>8008074.89732082</v>
      </c>
      <c r="K107" s="42">
        <f>F107*'Monetized Values and Factors'!$O$36</f>
        <v>22860.546419893639</v>
      </c>
      <c r="L107" s="43">
        <f>G107*'Monetized Values and Factors'!$O$33</f>
        <v>3124.3597621706845</v>
      </c>
    </row>
    <row r="108" spans="1:12" x14ac:dyDescent="0.25">
      <c r="A108" s="37">
        <v>2032</v>
      </c>
      <c r="B108" s="4">
        <f t="shared" si="5"/>
        <v>16547965.636373855</v>
      </c>
      <c r="C108" s="4">
        <f t="shared" si="5"/>
        <v>93606.089831096397</v>
      </c>
      <c r="D108" s="4">
        <f t="shared" si="5"/>
        <v>845.8745244167992</v>
      </c>
      <c r="E108" s="4">
        <f t="shared" si="5"/>
        <v>23.356970626304175</v>
      </c>
      <c r="F108" s="4">
        <f t="shared" si="5"/>
        <v>0.51528353219475931</v>
      </c>
      <c r="G108" s="4">
        <f t="shared" si="5"/>
        <v>1.5847283828089442</v>
      </c>
      <c r="H108" s="42">
        <f>C108*'Monetized Values and Factors'!N62</f>
        <v>93606.089831096397</v>
      </c>
      <c r="I108" s="42">
        <f>D108*'Monetized Values and Factors'!$O$34</f>
        <v>7733365.5457543647</v>
      </c>
      <c r="J108" s="42">
        <f>E108*'Monetized Values and Factors'!$O$35</f>
        <v>9719926.2481334154</v>
      </c>
      <c r="K108" s="42">
        <f>F108*'Monetized Values and Factors'!$O$36</f>
        <v>27754.897243842588</v>
      </c>
      <c r="L108" s="43">
        <f>G108*'Monetized Values and Factors'!$O$33</f>
        <v>3491.1566273281042</v>
      </c>
    </row>
    <row r="109" spans="1:12" x14ac:dyDescent="0.25">
      <c r="A109" s="37">
        <v>2033</v>
      </c>
      <c r="B109" s="4">
        <f t="shared" si="5"/>
        <v>16547965.636373855</v>
      </c>
      <c r="C109" s="4">
        <f t="shared" si="5"/>
        <v>93522.853344784322</v>
      </c>
      <c r="D109" s="4">
        <f t="shared" si="5"/>
        <v>842.68511964997606</v>
      </c>
      <c r="E109" s="4">
        <f t="shared" si="5"/>
        <v>23.308838124891238</v>
      </c>
      <c r="F109" s="4">
        <f t="shared" si="5"/>
        <v>0.51419604507018279</v>
      </c>
      <c r="G109" s="4">
        <f t="shared" si="5"/>
        <v>1.4555686643531409</v>
      </c>
      <c r="H109" s="42">
        <f>C109*'Monetized Values and Factors'!N63</f>
        <v>93522.853344784322</v>
      </c>
      <c r="I109" s="42">
        <f>D109*'Monetized Values and Factors'!$O$34</f>
        <v>7704206.5721439226</v>
      </c>
      <c r="J109" s="42">
        <f>E109*'Monetized Values and Factors'!$O$35</f>
        <v>9699896.0665076748</v>
      </c>
      <c r="K109" s="42">
        <f>F109*'Monetized Values and Factors'!$O$36</f>
        <v>27696.321544231028</v>
      </c>
      <c r="L109" s="43">
        <f>G109*'Monetized Values and Factors'!$O$33</f>
        <v>3206.6177675699696</v>
      </c>
    </row>
    <row r="110" spans="1:12" x14ac:dyDescent="0.25">
      <c r="A110" s="37">
        <v>2034</v>
      </c>
      <c r="B110" s="4">
        <f t="shared" ref="B110:G119" si="6">B67-B24</f>
        <v>16547965.636373855</v>
      </c>
      <c r="C110" s="4">
        <f t="shared" si="6"/>
        <v>93439.899665316931</v>
      </c>
      <c r="D110" s="4">
        <f t="shared" si="6"/>
        <v>839.87244012631686</v>
      </c>
      <c r="E110" s="4">
        <f t="shared" si="6"/>
        <v>23.267340838684333</v>
      </c>
      <c r="F110" s="4">
        <f t="shared" si="6"/>
        <v>0.51311210819549968</v>
      </c>
      <c r="G110" s="4">
        <f t="shared" si="6"/>
        <v>1.3370644744460121</v>
      </c>
      <c r="H110" s="42">
        <f>C110*'Monetized Values and Factors'!N64</f>
        <v>93439.899665316931</v>
      </c>
      <c r="I110" s="42">
        <f>D110*'Monetized Values and Factors'!$O$34</f>
        <v>7678491.7902328447</v>
      </c>
      <c r="J110" s="42">
        <f>E110*'Monetized Values and Factors'!$O$35</f>
        <v>9682627.1077937167</v>
      </c>
      <c r="K110" s="42">
        <f>F110*'Monetized Values and Factors'!$O$36</f>
        <v>27637.937072972069</v>
      </c>
      <c r="L110" s="43">
        <f>G110*'Monetized Values and Factors'!$O$33</f>
        <v>2945.5530372045646</v>
      </c>
    </row>
    <row r="111" spans="1:12" x14ac:dyDescent="0.25">
      <c r="A111" s="37">
        <v>2035</v>
      </c>
      <c r="B111" s="4">
        <f t="shared" si="6"/>
        <v>16547965.636373855</v>
      </c>
      <c r="C111" s="4">
        <f t="shared" si="6"/>
        <v>93357.22792651983</v>
      </c>
      <c r="D111" s="4">
        <f t="shared" si="6"/>
        <v>837.39176749186379</v>
      </c>
      <c r="E111" s="4">
        <f t="shared" si="6"/>
        <v>23.231566258223328</v>
      </c>
      <c r="F111" s="4">
        <f t="shared" si="6"/>
        <v>0.5120317097445638</v>
      </c>
      <c r="G111" s="4">
        <f t="shared" si="6"/>
        <v>1.2283281618614181</v>
      </c>
      <c r="H111" s="42">
        <f>C111*'Monetized Values and Factors'!N65</f>
        <v>186714.45585303966</v>
      </c>
      <c r="I111" s="42">
        <f>D111*'Monetized Values and Factors'!$O$34</f>
        <v>7655812.3647059891</v>
      </c>
      <c r="J111" s="42">
        <f>E111*'Monetized Values and Factors'!$O$35</f>
        <v>9667739.6341909841</v>
      </c>
      <c r="K111" s="42">
        <f>F111*'Monetized Values and Factors'!$O$36</f>
        <v>27579.743193069851</v>
      </c>
      <c r="L111" s="43">
        <f>G111*'Monetized Values and Factors'!$O$33</f>
        <v>2706.0069405807039</v>
      </c>
    </row>
    <row r="112" spans="1:12" x14ac:dyDescent="0.25">
      <c r="A112" s="37">
        <v>2036</v>
      </c>
      <c r="B112" s="4">
        <f t="shared" si="6"/>
        <v>16547965.636373855</v>
      </c>
      <c r="C112" s="4">
        <f t="shared" si="6"/>
        <v>93274.837264762376</v>
      </c>
      <c r="D112" s="4">
        <f t="shared" si="6"/>
        <v>835.20371625123812</v>
      </c>
      <c r="E112" s="4">
        <f t="shared" si="6"/>
        <v>23.200727128976997</v>
      </c>
      <c r="F112" s="4">
        <f t="shared" si="6"/>
        <v>0.51095483792950014</v>
      </c>
      <c r="G112" s="4">
        <f t="shared" si="6"/>
        <v>1.128546577826</v>
      </c>
      <c r="H112" s="42">
        <f>C112*'Monetized Values and Factors'!N66</f>
        <v>186549.67452952475</v>
      </c>
      <c r="I112" s="42">
        <f>D112*'Monetized Values and Factors'!$O$34</f>
        <v>7635808.2156411307</v>
      </c>
      <c r="J112" s="42">
        <f>E112*'Monetized Values and Factors'!$O$35</f>
        <v>9654906.0323242508</v>
      </c>
      <c r="K112" s="42">
        <f>F112*'Monetized Values and Factors'!$O$36</f>
        <v>27521.73926958994</v>
      </c>
      <c r="L112" s="43">
        <f>G112*'Monetized Values and Factors'!$O$33</f>
        <v>2486.188110950678</v>
      </c>
    </row>
    <row r="113" spans="1:12" x14ac:dyDescent="0.25">
      <c r="A113" s="37">
        <v>2037</v>
      </c>
      <c r="B113" s="4">
        <f t="shared" si="6"/>
        <v>16547965.636373855</v>
      </c>
      <c r="C113" s="4">
        <f t="shared" si="6"/>
        <v>93274.837264762376</v>
      </c>
      <c r="D113" s="4">
        <f t="shared" si="6"/>
        <v>835.20371625123812</v>
      </c>
      <c r="E113" s="4">
        <f t="shared" si="6"/>
        <v>23.200727128976997</v>
      </c>
      <c r="F113" s="4">
        <f t="shared" si="6"/>
        <v>0.51095483792950014</v>
      </c>
      <c r="G113" s="4">
        <f t="shared" si="6"/>
        <v>1.128546577826</v>
      </c>
      <c r="H113" s="42">
        <f>C113*'Monetized Values and Factors'!N67</f>
        <v>186549.67452952475</v>
      </c>
      <c r="I113" s="42">
        <f>D113*'Monetized Values and Factors'!$O$34</f>
        <v>7635808.2156411307</v>
      </c>
      <c r="J113" s="42">
        <f>E113*'Monetized Values and Factors'!$O$35</f>
        <v>9654906.0323242508</v>
      </c>
      <c r="K113" s="42">
        <f>F113*'Monetized Values and Factors'!$O$36</f>
        <v>27521.73926958994</v>
      </c>
      <c r="L113" s="43">
        <f>G113*'Monetized Values and Factors'!$O$33</f>
        <v>2486.188110950678</v>
      </c>
    </row>
    <row r="114" spans="1:12" x14ac:dyDescent="0.25">
      <c r="A114" s="37">
        <v>2038</v>
      </c>
      <c r="B114" s="4">
        <f t="shared" si="6"/>
        <v>16547965.636373855</v>
      </c>
      <c r="C114" s="4">
        <f t="shared" si="6"/>
        <v>93274.837264762376</v>
      </c>
      <c r="D114" s="4">
        <f t="shared" si="6"/>
        <v>835.20371625123812</v>
      </c>
      <c r="E114" s="4">
        <f t="shared" si="6"/>
        <v>23.200727128976997</v>
      </c>
      <c r="F114" s="4">
        <f t="shared" si="6"/>
        <v>0.51095483792950014</v>
      </c>
      <c r="G114" s="4">
        <f t="shared" si="6"/>
        <v>1.128546577826</v>
      </c>
      <c r="H114" s="42">
        <f>C114*'Monetized Values and Factors'!N68</f>
        <v>186549.67452952475</v>
      </c>
      <c r="I114" s="42">
        <f>D114*'Monetized Values and Factors'!$O$34</f>
        <v>7635808.2156411307</v>
      </c>
      <c r="J114" s="42">
        <f>E114*'Monetized Values and Factors'!$O$35</f>
        <v>9654906.0323242508</v>
      </c>
      <c r="K114" s="42">
        <f>F114*'Monetized Values and Factors'!$O$36</f>
        <v>27521.73926958994</v>
      </c>
      <c r="L114" s="43">
        <f>G114*'Monetized Values and Factors'!$O$33</f>
        <v>2486.188110950678</v>
      </c>
    </row>
    <row r="115" spans="1:12" x14ac:dyDescent="0.25">
      <c r="A115" s="37">
        <v>2039</v>
      </c>
      <c r="B115" s="4">
        <f t="shared" si="6"/>
        <v>16547965.636373855</v>
      </c>
      <c r="C115" s="4">
        <f t="shared" si="6"/>
        <v>93274.837264762376</v>
      </c>
      <c r="D115" s="4">
        <f t="shared" si="6"/>
        <v>835.20371625123812</v>
      </c>
      <c r="E115" s="4">
        <f t="shared" si="6"/>
        <v>23.200727128976997</v>
      </c>
      <c r="F115" s="4">
        <f t="shared" si="6"/>
        <v>0.51095483792950014</v>
      </c>
      <c r="G115" s="4">
        <f t="shared" si="6"/>
        <v>1.128546577826</v>
      </c>
      <c r="H115" s="42">
        <f>C115*'Monetized Values and Factors'!N69</f>
        <v>186549.67452952475</v>
      </c>
      <c r="I115" s="42">
        <f>D115*'Monetized Values and Factors'!$O$34</f>
        <v>7635808.2156411307</v>
      </c>
      <c r="J115" s="42">
        <f>E115*'Monetized Values and Factors'!$O$35</f>
        <v>9654906.0323242508</v>
      </c>
      <c r="K115" s="42">
        <f>F115*'Monetized Values and Factors'!$O$36</f>
        <v>27521.73926958994</v>
      </c>
      <c r="L115" s="43">
        <f>G115*'Monetized Values and Factors'!$O$33</f>
        <v>2486.188110950678</v>
      </c>
    </row>
    <row r="116" spans="1:12" x14ac:dyDescent="0.25">
      <c r="A116" s="37">
        <v>2040</v>
      </c>
      <c r="B116" s="4">
        <f t="shared" si="6"/>
        <v>16547965.636373855</v>
      </c>
      <c r="C116" s="4">
        <f t="shared" si="6"/>
        <v>93274.837264762376</v>
      </c>
      <c r="D116" s="4">
        <f t="shared" si="6"/>
        <v>835.20371625123812</v>
      </c>
      <c r="E116" s="4">
        <f t="shared" si="6"/>
        <v>23.200727128976997</v>
      </c>
      <c r="F116" s="4">
        <f t="shared" si="6"/>
        <v>0.51095483792950014</v>
      </c>
      <c r="G116" s="4">
        <f t="shared" si="6"/>
        <v>1.128546577826</v>
      </c>
      <c r="H116" s="42">
        <f>C116*'Monetized Values and Factors'!N70</f>
        <v>186549.67452952475</v>
      </c>
      <c r="I116" s="42">
        <f>D116*'Monetized Values and Factors'!$O$34</f>
        <v>7635808.2156411307</v>
      </c>
      <c r="J116" s="42">
        <f>E116*'Monetized Values and Factors'!$O$35</f>
        <v>9654906.0323242508</v>
      </c>
      <c r="K116" s="42">
        <f>F116*'Monetized Values and Factors'!$O$36</f>
        <v>27521.73926958994</v>
      </c>
      <c r="L116" s="43">
        <f>G116*'Monetized Values and Factors'!$O$33</f>
        <v>2486.188110950678</v>
      </c>
    </row>
    <row r="117" spans="1:12" x14ac:dyDescent="0.25">
      <c r="A117" s="37">
        <v>2041</v>
      </c>
      <c r="B117" s="4">
        <f t="shared" si="6"/>
        <v>16547965.636373855</v>
      </c>
      <c r="C117" s="4">
        <f t="shared" si="6"/>
        <v>93274.837264762376</v>
      </c>
      <c r="D117" s="4">
        <f t="shared" si="6"/>
        <v>835.20371625123812</v>
      </c>
      <c r="E117" s="4">
        <f t="shared" si="6"/>
        <v>23.200727128976997</v>
      </c>
      <c r="F117" s="4">
        <f t="shared" si="6"/>
        <v>0.51095483792950014</v>
      </c>
      <c r="G117" s="4">
        <f t="shared" si="6"/>
        <v>1.128546577826</v>
      </c>
      <c r="H117" s="42">
        <f>C117*'Monetized Values and Factors'!N71</f>
        <v>186549.67452952475</v>
      </c>
      <c r="I117" s="42">
        <f>D117*'Monetized Values and Factors'!$O$34</f>
        <v>7635808.2156411307</v>
      </c>
      <c r="J117" s="42">
        <f>E117*'Monetized Values and Factors'!$O$35</f>
        <v>9654906.0323242508</v>
      </c>
      <c r="K117" s="42">
        <f>F117*'Monetized Values and Factors'!$O$36</f>
        <v>27521.73926958994</v>
      </c>
      <c r="L117" s="43">
        <f>G117*'Monetized Values and Factors'!$O$33</f>
        <v>2486.188110950678</v>
      </c>
    </row>
    <row r="118" spans="1:12" x14ac:dyDescent="0.25">
      <c r="A118" s="37">
        <v>2042</v>
      </c>
      <c r="B118" s="4">
        <f t="shared" si="6"/>
        <v>16547965.636373855</v>
      </c>
      <c r="C118" s="4">
        <f t="shared" si="6"/>
        <v>93274.837264762376</v>
      </c>
      <c r="D118" s="4">
        <f t="shared" si="6"/>
        <v>835.20371625123812</v>
      </c>
      <c r="E118" s="4">
        <f t="shared" si="6"/>
        <v>23.200727128976997</v>
      </c>
      <c r="F118" s="4">
        <f t="shared" si="6"/>
        <v>0.51095483792950014</v>
      </c>
      <c r="G118" s="4">
        <f t="shared" si="6"/>
        <v>1.128546577826</v>
      </c>
      <c r="H118" s="42">
        <f>C118*'Monetized Values and Factors'!N72</f>
        <v>186549.67452952475</v>
      </c>
      <c r="I118" s="42">
        <f>D118*'Monetized Values and Factors'!$O$34</f>
        <v>7635808.2156411307</v>
      </c>
      <c r="J118" s="42">
        <f>E118*'Monetized Values and Factors'!$O$35</f>
        <v>9654906.0323242508</v>
      </c>
      <c r="K118" s="42">
        <f>F118*'Monetized Values and Factors'!$O$36</f>
        <v>27521.73926958994</v>
      </c>
      <c r="L118" s="43">
        <f>G118*'Monetized Values and Factors'!$O$33</f>
        <v>2486.188110950678</v>
      </c>
    </row>
    <row r="119" spans="1:12" x14ac:dyDescent="0.25">
      <c r="A119" s="37">
        <v>2043</v>
      </c>
      <c r="B119" s="4">
        <f t="shared" si="6"/>
        <v>16547965.636373855</v>
      </c>
      <c r="C119" s="4">
        <f t="shared" si="6"/>
        <v>93274.837264762376</v>
      </c>
      <c r="D119" s="4">
        <f t="shared" si="6"/>
        <v>835.20371625123812</v>
      </c>
      <c r="E119" s="4">
        <f t="shared" si="6"/>
        <v>23.200727128976997</v>
      </c>
      <c r="F119" s="4">
        <f t="shared" si="6"/>
        <v>0.51095483792950014</v>
      </c>
      <c r="G119" s="4">
        <f t="shared" si="6"/>
        <v>1.128546577826</v>
      </c>
      <c r="H119" s="42">
        <f>C119*'Monetized Values and Factors'!N73</f>
        <v>186549.67452952475</v>
      </c>
      <c r="I119" s="42">
        <f>D119*'Monetized Values and Factors'!$O$34</f>
        <v>7635808.2156411307</v>
      </c>
      <c r="J119" s="42">
        <f>E119*'Monetized Values and Factors'!$O$35</f>
        <v>9654906.0323242508</v>
      </c>
      <c r="K119" s="42">
        <f>F119*'Monetized Values and Factors'!$O$36</f>
        <v>27521.73926958994</v>
      </c>
      <c r="L119" s="43">
        <f>G119*'Monetized Values and Factors'!$O$33</f>
        <v>2486.188110950678</v>
      </c>
    </row>
    <row r="120" spans="1:12" x14ac:dyDescent="0.25">
      <c r="A120" s="37">
        <v>2044</v>
      </c>
      <c r="B120" s="4">
        <f t="shared" ref="B120:G128" si="7">B77-B34</f>
        <v>16547965.636373855</v>
      </c>
      <c r="C120" s="4">
        <f t="shared" si="7"/>
        <v>93274.837264762376</v>
      </c>
      <c r="D120" s="4">
        <f t="shared" si="7"/>
        <v>835.20371625123812</v>
      </c>
      <c r="E120" s="4">
        <f t="shared" si="7"/>
        <v>23.200727128976997</v>
      </c>
      <c r="F120" s="4">
        <f t="shared" si="7"/>
        <v>0.51095483792950014</v>
      </c>
      <c r="G120" s="4">
        <f t="shared" si="7"/>
        <v>1.128546577826</v>
      </c>
      <c r="H120" s="42">
        <f>C120*'Monetized Values and Factors'!N74</f>
        <v>186549.67452952475</v>
      </c>
      <c r="I120" s="42">
        <f>D120*'Monetized Values and Factors'!$O$34</f>
        <v>7635808.2156411307</v>
      </c>
      <c r="J120" s="42">
        <f>E120*'Monetized Values and Factors'!$O$35</f>
        <v>9654906.0323242508</v>
      </c>
      <c r="K120" s="42">
        <f>F120*'Monetized Values and Factors'!$O$36</f>
        <v>27521.73926958994</v>
      </c>
      <c r="L120" s="43">
        <f>G120*'Monetized Values and Factors'!$O$33</f>
        <v>2486.188110950678</v>
      </c>
    </row>
    <row r="121" spans="1:12" x14ac:dyDescent="0.25">
      <c r="A121" s="37">
        <v>2045</v>
      </c>
      <c r="B121" s="4">
        <f t="shared" si="7"/>
        <v>16547965.636373855</v>
      </c>
      <c r="C121" s="4">
        <f t="shared" si="7"/>
        <v>93274.837264762376</v>
      </c>
      <c r="D121" s="4">
        <f t="shared" si="7"/>
        <v>835.20371625123812</v>
      </c>
      <c r="E121" s="4">
        <f t="shared" si="7"/>
        <v>23.200727128976997</v>
      </c>
      <c r="F121" s="4">
        <f t="shared" si="7"/>
        <v>0.51095483792950014</v>
      </c>
      <c r="G121" s="4">
        <f t="shared" si="7"/>
        <v>1.128546577826</v>
      </c>
      <c r="H121" s="42">
        <f>C121*'Monetized Values and Factors'!N75</f>
        <v>186549.67452952475</v>
      </c>
      <c r="I121" s="42">
        <f>D121*'Monetized Values and Factors'!$O$34</f>
        <v>7635808.2156411307</v>
      </c>
      <c r="J121" s="42">
        <f>E121*'Monetized Values and Factors'!$O$35</f>
        <v>9654906.0323242508</v>
      </c>
      <c r="K121" s="42">
        <f>F121*'Monetized Values and Factors'!$O$36</f>
        <v>27521.73926958994</v>
      </c>
      <c r="L121" s="43">
        <f>G121*'Monetized Values and Factors'!$O$33</f>
        <v>2486.188110950678</v>
      </c>
    </row>
    <row r="122" spans="1:12" x14ac:dyDescent="0.25">
      <c r="A122" s="37">
        <v>2046</v>
      </c>
      <c r="B122" s="4">
        <f t="shared" si="7"/>
        <v>16547965.636373855</v>
      </c>
      <c r="C122" s="4">
        <f t="shared" si="7"/>
        <v>93274.837264762376</v>
      </c>
      <c r="D122" s="4">
        <f t="shared" si="7"/>
        <v>835.20371625123812</v>
      </c>
      <c r="E122" s="4">
        <f t="shared" si="7"/>
        <v>23.200727128976997</v>
      </c>
      <c r="F122" s="4">
        <f t="shared" si="7"/>
        <v>0.51095483792950014</v>
      </c>
      <c r="G122" s="4">
        <f t="shared" si="7"/>
        <v>1.128546577826</v>
      </c>
      <c r="H122" s="42">
        <f>C122*'Monetized Values and Factors'!N76</f>
        <v>186549.67452952475</v>
      </c>
      <c r="I122" s="42">
        <f>D122*'Monetized Values and Factors'!$O$34</f>
        <v>7635808.2156411307</v>
      </c>
      <c r="J122" s="42">
        <f>E122*'Monetized Values and Factors'!$O$35</f>
        <v>9654906.0323242508</v>
      </c>
      <c r="K122" s="42">
        <f>F122*'Monetized Values and Factors'!$O$36</f>
        <v>27521.73926958994</v>
      </c>
      <c r="L122" s="43">
        <f>G122*'Monetized Values and Factors'!$O$33</f>
        <v>2486.188110950678</v>
      </c>
    </row>
    <row r="123" spans="1:12" x14ac:dyDescent="0.25">
      <c r="A123" s="37">
        <v>2047</v>
      </c>
      <c r="B123" s="4">
        <f t="shared" si="7"/>
        <v>16547965.636373855</v>
      </c>
      <c r="C123" s="4">
        <f t="shared" si="7"/>
        <v>93274.837264762376</v>
      </c>
      <c r="D123" s="4">
        <f t="shared" si="7"/>
        <v>835.20371625123812</v>
      </c>
      <c r="E123" s="4">
        <f t="shared" si="7"/>
        <v>23.200727128976997</v>
      </c>
      <c r="F123" s="4">
        <f t="shared" si="7"/>
        <v>0.51095483792950014</v>
      </c>
      <c r="G123" s="4">
        <f t="shared" si="7"/>
        <v>1.128546577826</v>
      </c>
      <c r="H123" s="42">
        <f>C123*'Monetized Values and Factors'!N77</f>
        <v>186549.67452952475</v>
      </c>
      <c r="I123" s="42">
        <f>D123*'Monetized Values and Factors'!$O$34</f>
        <v>7635808.2156411307</v>
      </c>
      <c r="J123" s="42">
        <f>E123*'Monetized Values and Factors'!$O$35</f>
        <v>9654906.0323242508</v>
      </c>
      <c r="K123" s="42">
        <f>F123*'Monetized Values and Factors'!$O$36</f>
        <v>27521.73926958994</v>
      </c>
      <c r="L123" s="43">
        <f>G123*'Monetized Values and Factors'!$O$33</f>
        <v>2486.188110950678</v>
      </c>
    </row>
    <row r="124" spans="1:12" x14ac:dyDescent="0.25">
      <c r="A124" s="37">
        <v>2048</v>
      </c>
      <c r="B124" s="4">
        <f t="shared" si="7"/>
        <v>16547965.636373855</v>
      </c>
      <c r="C124" s="4">
        <f t="shared" si="7"/>
        <v>93274.837264762376</v>
      </c>
      <c r="D124" s="4">
        <f t="shared" si="7"/>
        <v>835.20371625123812</v>
      </c>
      <c r="E124" s="4">
        <f t="shared" si="7"/>
        <v>23.200727128976997</v>
      </c>
      <c r="F124" s="4">
        <f t="shared" si="7"/>
        <v>0.51095483792950014</v>
      </c>
      <c r="G124" s="4">
        <f t="shared" si="7"/>
        <v>1.128546577826</v>
      </c>
      <c r="H124" s="42">
        <f>C124*'Monetized Values and Factors'!N78</f>
        <v>186549.67452952475</v>
      </c>
      <c r="I124" s="42">
        <f>D124*'Monetized Values and Factors'!$O$34</f>
        <v>7635808.2156411307</v>
      </c>
      <c r="J124" s="42">
        <f>E124*'Monetized Values and Factors'!$O$35</f>
        <v>9654906.0323242508</v>
      </c>
      <c r="K124" s="42">
        <f>F124*'Monetized Values and Factors'!$O$36</f>
        <v>27521.73926958994</v>
      </c>
      <c r="L124" s="43">
        <f>G124*'Monetized Values and Factors'!$O$33</f>
        <v>2486.188110950678</v>
      </c>
    </row>
    <row r="125" spans="1:12" x14ac:dyDescent="0.25">
      <c r="A125" s="37">
        <v>2049</v>
      </c>
      <c r="B125" s="4">
        <f t="shared" si="7"/>
        <v>16547965.636373855</v>
      </c>
      <c r="C125" s="4">
        <f t="shared" si="7"/>
        <v>93274.837264762376</v>
      </c>
      <c r="D125" s="4">
        <f t="shared" si="7"/>
        <v>835.20371625123812</v>
      </c>
      <c r="E125" s="4">
        <f t="shared" si="7"/>
        <v>23.200727128976997</v>
      </c>
      <c r="F125" s="4">
        <f t="shared" si="7"/>
        <v>0.51095483792950014</v>
      </c>
      <c r="G125" s="4">
        <f t="shared" si="7"/>
        <v>1.128546577826</v>
      </c>
      <c r="H125" s="42">
        <f>C125*'Monetized Values and Factors'!N79</f>
        <v>186549.67452952475</v>
      </c>
      <c r="I125" s="42">
        <f>D125*'Monetized Values and Factors'!$O$34</f>
        <v>7635808.2156411307</v>
      </c>
      <c r="J125" s="42">
        <f>E125*'Monetized Values and Factors'!$O$35</f>
        <v>9654906.0323242508</v>
      </c>
      <c r="K125" s="42">
        <f>F125*'Monetized Values and Factors'!$O$36</f>
        <v>27521.73926958994</v>
      </c>
      <c r="L125" s="43">
        <f>G125*'Monetized Values and Factors'!$O$33</f>
        <v>2486.188110950678</v>
      </c>
    </row>
    <row r="126" spans="1:12" x14ac:dyDescent="0.25">
      <c r="A126" s="37">
        <v>2050</v>
      </c>
      <c r="B126" s="4">
        <f t="shared" si="7"/>
        <v>16547965.636373855</v>
      </c>
      <c r="C126" s="4">
        <f t="shared" si="7"/>
        <v>93274.837264762376</v>
      </c>
      <c r="D126" s="4">
        <f t="shared" si="7"/>
        <v>835.20371625123812</v>
      </c>
      <c r="E126" s="4">
        <f t="shared" si="7"/>
        <v>23.200727128976997</v>
      </c>
      <c r="F126" s="4">
        <f t="shared" si="7"/>
        <v>0.51095483792950014</v>
      </c>
      <c r="G126" s="4">
        <f t="shared" si="7"/>
        <v>1.128546577826</v>
      </c>
      <c r="H126" s="42">
        <f>C126*'Monetized Values and Factors'!N80</f>
        <v>186549.67452952475</v>
      </c>
      <c r="I126" s="42">
        <f>D126*'Monetized Values and Factors'!$O$34</f>
        <v>7635808.2156411307</v>
      </c>
      <c r="J126" s="42">
        <f>E126*'Monetized Values and Factors'!$O$35</f>
        <v>9654906.0323242508</v>
      </c>
      <c r="K126" s="42">
        <f>F126*'Monetized Values and Factors'!$O$36</f>
        <v>27521.73926958994</v>
      </c>
      <c r="L126" s="43">
        <f>G126*'Monetized Values and Factors'!$O$33</f>
        <v>2486.188110950678</v>
      </c>
    </row>
    <row r="127" spans="1:12" x14ac:dyDescent="0.25">
      <c r="A127" s="37">
        <v>2051</v>
      </c>
      <c r="B127" s="4">
        <f t="shared" si="7"/>
        <v>16547965.636373855</v>
      </c>
      <c r="C127" s="4">
        <f t="shared" si="7"/>
        <v>93274.837264762376</v>
      </c>
      <c r="D127" s="4">
        <f t="shared" si="7"/>
        <v>835.20371625123812</v>
      </c>
      <c r="E127" s="4">
        <f t="shared" si="7"/>
        <v>23.200727128976997</v>
      </c>
      <c r="F127" s="4">
        <f t="shared" si="7"/>
        <v>0.51095483792950014</v>
      </c>
      <c r="G127" s="4">
        <f t="shared" si="7"/>
        <v>1.128546577826</v>
      </c>
      <c r="H127" s="42">
        <f>C127*'Monetized Values and Factors'!N81</f>
        <v>186549.67452952475</v>
      </c>
      <c r="I127" s="42">
        <f>D127*'Monetized Values and Factors'!$O$34</f>
        <v>7635808.2156411307</v>
      </c>
      <c r="J127" s="42">
        <f>E127*'Monetized Values and Factors'!$O$35</f>
        <v>9654906.0323242508</v>
      </c>
      <c r="K127" s="42">
        <f>F127*'Monetized Values and Factors'!$O$36</f>
        <v>27521.73926958994</v>
      </c>
      <c r="L127" s="43">
        <f>G127*'Monetized Values and Factors'!$O$33</f>
        <v>2486.188110950678</v>
      </c>
    </row>
    <row r="128" spans="1:12" x14ac:dyDescent="0.25">
      <c r="A128" s="37">
        <v>2052</v>
      </c>
      <c r="B128" s="4">
        <f t="shared" si="7"/>
        <v>16547965.636373855</v>
      </c>
      <c r="C128" s="4">
        <f t="shared" si="7"/>
        <v>93274.837264762376</v>
      </c>
      <c r="D128" s="4">
        <f t="shared" si="7"/>
        <v>835.20371625123812</v>
      </c>
      <c r="E128" s="4">
        <f t="shared" si="7"/>
        <v>23.200727128976997</v>
      </c>
      <c r="F128" s="4">
        <f t="shared" si="7"/>
        <v>0.51095483792950014</v>
      </c>
      <c r="G128" s="4">
        <f t="shared" si="7"/>
        <v>1.128546577826</v>
      </c>
      <c r="H128" s="42">
        <f>C128*'Monetized Values and Factors'!N82</f>
        <v>186549.67452952475</v>
      </c>
      <c r="I128" s="42">
        <f>D128*'Monetized Values and Factors'!$O$34</f>
        <v>7635808.2156411307</v>
      </c>
      <c r="J128" s="42">
        <f>E128*'Monetized Values and Factors'!$O$35</f>
        <v>9654906.0323242508</v>
      </c>
      <c r="K128" s="42">
        <f>F128*'Monetized Values and Factors'!$O$36</f>
        <v>27521.73926958994</v>
      </c>
      <c r="L128" s="43">
        <f>G128*'Monetized Values and Factors'!$O$33</f>
        <v>2486.188110950678</v>
      </c>
    </row>
    <row r="129" spans="1:12" ht="15.75" thickBot="1" x14ac:dyDescent="0.3">
      <c r="A129" s="44" t="s">
        <v>1</v>
      </c>
      <c r="B129" s="45">
        <f>SUM(B90:B128)</f>
        <v>405311815.86077344</v>
      </c>
      <c r="C129" s="45">
        <f t="shared" ref="C129:G129" si="8">SUM(C90:C128)</f>
        <v>2287586.1356861158</v>
      </c>
      <c r="D129" s="45">
        <f t="shared" si="8"/>
        <v>20575.927077777782</v>
      </c>
      <c r="E129" s="45">
        <f t="shared" si="8"/>
        <v>570.09335365890911</v>
      </c>
      <c r="F129" s="45">
        <f t="shared" si="8"/>
        <v>12.553978694908507</v>
      </c>
      <c r="G129" s="45">
        <f t="shared" si="8"/>
        <v>32.345375917460402</v>
      </c>
      <c r="H129" s="192">
        <f>SUM(H90:H128)</f>
        <v>3966615.5971135953</v>
      </c>
      <c r="I129" s="192">
        <f t="shared" ref="I129:K129" si="9">SUM(I90:I128)</f>
        <v>188114384.51222941</v>
      </c>
      <c r="J129" s="192">
        <f t="shared" si="9"/>
        <v>237242467.81708798</v>
      </c>
      <c r="K129" s="192">
        <f t="shared" si="9"/>
        <v>676199.3483364</v>
      </c>
      <c r="L129" s="193">
        <f>SUM(L90:L128)</f>
        <v>71256.863146165269</v>
      </c>
    </row>
  </sheetData>
  <mergeCells count="4">
    <mergeCell ref="A1:L1"/>
    <mergeCell ref="A2:L2"/>
    <mergeCell ref="A45:L45"/>
    <mergeCell ref="A88:L8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45"/>
  <sheetViews>
    <sheetView zoomScale="70" zoomScaleNormal="70" workbookViewId="0">
      <selection activeCell="L44" sqref="L44"/>
    </sheetView>
  </sheetViews>
  <sheetFormatPr defaultColWidth="9.140625" defaultRowHeight="15" x14ac:dyDescent="0.25"/>
  <cols>
    <col min="1" max="1" width="10.7109375" style="3" bestFit="1" customWidth="1"/>
    <col min="2" max="2" width="11.7109375" style="3" customWidth="1"/>
    <col min="3" max="3" width="12.140625" style="3" customWidth="1"/>
    <col min="4" max="4" width="11.85546875" style="3" customWidth="1"/>
    <col min="5" max="5" width="19.42578125" style="3" customWidth="1"/>
    <col min="6" max="6" width="15.42578125" style="3" customWidth="1"/>
    <col min="7" max="7" width="16.85546875" style="3" customWidth="1"/>
    <col min="8" max="8" width="10" style="3" customWidth="1"/>
    <col min="9" max="13" width="17.5703125" style="3" customWidth="1"/>
    <col min="14" max="16" width="18.140625" style="3" customWidth="1"/>
    <col min="17" max="17" width="21.28515625" style="3" customWidth="1"/>
    <col min="18" max="16384" width="9.140625" style="3"/>
  </cols>
  <sheetData>
    <row r="1" spans="1:17" ht="34.5" customHeight="1" thickBot="1" x14ac:dyDescent="0.4">
      <c r="A1" s="477" t="s">
        <v>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29" customFormat="1" ht="107.25" customHeight="1" thickBot="1" x14ac:dyDescent="0.3">
      <c r="A2" s="201" t="s">
        <v>2</v>
      </c>
      <c r="B2" s="156" t="s">
        <v>256</v>
      </c>
      <c r="C2" s="157" t="s">
        <v>257</v>
      </c>
      <c r="D2" s="157" t="s">
        <v>258</v>
      </c>
      <c r="E2" s="157" t="s">
        <v>291</v>
      </c>
      <c r="F2" s="156" t="s">
        <v>259</v>
      </c>
      <c r="G2" s="157" t="s">
        <v>260</v>
      </c>
      <c r="H2" s="157" t="s">
        <v>263</v>
      </c>
      <c r="I2" s="157" t="s">
        <v>292</v>
      </c>
      <c r="J2" s="156" t="s">
        <v>261</v>
      </c>
      <c r="K2" s="157" t="s">
        <v>262</v>
      </c>
      <c r="L2" s="157" t="s">
        <v>264</v>
      </c>
      <c r="M2" s="157" t="s">
        <v>293</v>
      </c>
      <c r="N2" s="156" t="s">
        <v>294</v>
      </c>
      <c r="O2" s="157" t="s">
        <v>295</v>
      </c>
      <c r="P2" s="158" t="s">
        <v>296</v>
      </c>
      <c r="Q2" s="158" t="s">
        <v>297</v>
      </c>
    </row>
    <row r="3" spans="1:17" s="29" customFormat="1" x14ac:dyDescent="0.25">
      <c r="A3" s="301">
        <v>2014</v>
      </c>
      <c r="B3" s="198">
        <f>'VMT Ton-Mile Driver Time'!F4*'Crash Rates'!$B$10+'VMT Ton-Mile Driver Time'!F48*'Crash Rates'!$B$17</f>
        <v>0</v>
      </c>
      <c r="C3" s="4">
        <f>'VMT Ton-Mile Driver Time'!M4*'Crash Rates'!$B$10+'VMT Ton-Mile Driver Time'!M48*'Crash Rates'!$B$17</f>
        <v>0</v>
      </c>
      <c r="D3" s="4">
        <f>C3-B3</f>
        <v>0</v>
      </c>
      <c r="E3" s="42">
        <f>D3*'Monetized Values and Factors'!$M$89</f>
        <v>0</v>
      </c>
      <c r="F3" s="198">
        <f>'VMT Ton-Mile Driver Time'!F4*'Crash Rates'!$C$10+'VMT Ton-Mile Driver Time'!F48*'Crash Rates'!$C$17</f>
        <v>0</v>
      </c>
      <c r="G3" s="4">
        <f>'VMT Ton-Mile Driver Time'!M4*'Crash Rates'!$C$10+'VMT Ton-Mile Driver Time'!M48*'Crash Rates'!$C$17</f>
        <v>0</v>
      </c>
      <c r="H3" s="4">
        <f>G3-F3</f>
        <v>0</v>
      </c>
      <c r="I3" s="42">
        <f>H3*'Monetized Values and Factors'!$P$94</f>
        <v>0</v>
      </c>
      <c r="J3" s="198">
        <f>'VMT Ton-Mile Driver Time'!F4*'Crash Rates'!$D$10</f>
        <v>0</v>
      </c>
      <c r="K3" s="4">
        <f>'VMT Ton-Mile Driver Time'!M4*'Crash Rates'!$D$10</f>
        <v>0</v>
      </c>
      <c r="L3" s="4">
        <f>K3-J3</f>
        <v>0</v>
      </c>
      <c r="M3" s="42">
        <f>L3*'Monetized Values and Factors'!$M$102</f>
        <v>0</v>
      </c>
      <c r="N3" s="162">
        <f>'VMT Ton-Mile Driver Time'!F48*'Crash Rates'!$B$21</f>
        <v>0</v>
      </c>
      <c r="O3" s="42">
        <f>'VMT Ton-Mile Driver Time'!M48*'Crash Rates'!$B$21</f>
        <v>0</v>
      </c>
      <c r="P3" s="43">
        <f>O3-N3</f>
        <v>0</v>
      </c>
      <c r="Q3" s="43">
        <f>E3+I3+M3+P3</f>
        <v>0</v>
      </c>
    </row>
    <row r="4" spans="1:17" x14ac:dyDescent="0.25">
      <c r="A4" s="37">
        <v>2015</v>
      </c>
      <c r="B4" s="198">
        <f>'VMT Ton-Mile Driver Time'!F5*'Crash Rates'!$B$10+'VMT Ton-Mile Driver Time'!F49*'Crash Rates'!$B$17</f>
        <v>0</v>
      </c>
      <c r="C4" s="4">
        <f>'VMT Ton-Mile Driver Time'!M5*'Crash Rates'!$B$10+'VMT Ton-Mile Driver Time'!M49*'Crash Rates'!$B$17</f>
        <v>0</v>
      </c>
      <c r="D4" s="4">
        <f>C4-B4</f>
        <v>0</v>
      </c>
      <c r="E4" s="42">
        <f>D4*'Monetized Values and Factors'!$M$89</f>
        <v>0</v>
      </c>
      <c r="F4" s="198">
        <f>'VMT Ton-Mile Driver Time'!F5*'Crash Rates'!$C$10+'VMT Ton-Mile Driver Time'!F49*'Crash Rates'!$C$17</f>
        <v>0</v>
      </c>
      <c r="G4" s="4">
        <f>'VMT Ton-Mile Driver Time'!M5*'Crash Rates'!$C$10+'VMT Ton-Mile Driver Time'!M49*'Crash Rates'!$C$17</f>
        <v>0</v>
      </c>
      <c r="H4" s="4">
        <f>G4-F4</f>
        <v>0</v>
      </c>
      <c r="I4" s="42">
        <f>H4*'Monetized Values and Factors'!$P$94</f>
        <v>0</v>
      </c>
      <c r="J4" s="198">
        <f>'VMT Ton-Mile Driver Time'!F5*'Crash Rates'!$D$10</f>
        <v>0</v>
      </c>
      <c r="K4" s="4">
        <f>'VMT Ton-Mile Driver Time'!M5*'Crash Rates'!$D$10</f>
        <v>0</v>
      </c>
      <c r="L4" s="4">
        <f>K4-J4</f>
        <v>0</v>
      </c>
      <c r="M4" s="42">
        <f>L4*'Monetized Values and Factors'!$M$102</f>
        <v>0</v>
      </c>
      <c r="N4" s="162">
        <f>'VMT Ton-Mile Driver Time'!F49*'Crash Rates'!$B$21</f>
        <v>0</v>
      </c>
      <c r="O4" s="42">
        <f>'VMT Ton-Mile Driver Time'!M49*'Crash Rates'!$B$21</f>
        <v>0</v>
      </c>
      <c r="P4" s="43">
        <f>O4-N4</f>
        <v>0</v>
      </c>
      <c r="Q4" s="43">
        <f>E4+I4+M4+P4</f>
        <v>0</v>
      </c>
    </row>
    <row r="5" spans="1:17" x14ac:dyDescent="0.25">
      <c r="A5" s="37">
        <v>2016</v>
      </c>
      <c r="B5" s="198">
        <f>'VMT Ton-Mile Driver Time'!F6*'Crash Rates'!$B$10+'VMT Ton-Mile Driver Time'!F50*'Crash Rates'!$B$17</f>
        <v>0</v>
      </c>
      <c r="C5" s="4">
        <f>'VMT Ton-Mile Driver Time'!M6*'Crash Rates'!$B$10+'VMT Ton-Mile Driver Time'!M50*'Crash Rates'!$B$17</f>
        <v>0</v>
      </c>
      <c r="D5" s="4">
        <f t="shared" ref="D5:D40" si="0">C5-B5</f>
        <v>0</v>
      </c>
      <c r="E5" s="42">
        <f>D5*'Monetized Values and Factors'!$M$89</f>
        <v>0</v>
      </c>
      <c r="F5" s="198">
        <f>'VMT Ton-Mile Driver Time'!F6*'Crash Rates'!$C$10+'VMT Ton-Mile Driver Time'!F50*'Crash Rates'!$C$17</f>
        <v>0</v>
      </c>
      <c r="G5" s="4">
        <f>'VMT Ton-Mile Driver Time'!M6*'Crash Rates'!$C$10+'VMT Ton-Mile Driver Time'!M50*'Crash Rates'!$C$17</f>
        <v>0</v>
      </c>
      <c r="H5" s="4">
        <f t="shared" ref="H5:H40" si="1">G5-F5</f>
        <v>0</v>
      </c>
      <c r="I5" s="42">
        <f>H5*'Monetized Values and Factors'!$P$94</f>
        <v>0</v>
      </c>
      <c r="J5" s="198">
        <f>'VMT Ton-Mile Driver Time'!F6*'Crash Rates'!$D$10</f>
        <v>0</v>
      </c>
      <c r="K5" s="4">
        <f>'VMT Ton-Mile Driver Time'!M6*'Crash Rates'!$D$10</f>
        <v>0</v>
      </c>
      <c r="L5" s="4">
        <f t="shared" ref="L5:L40" si="2">K5-J5</f>
        <v>0</v>
      </c>
      <c r="M5" s="42">
        <f>L5*'Monetized Values and Factors'!$M$102</f>
        <v>0</v>
      </c>
      <c r="N5" s="162">
        <f>'VMT Ton-Mile Driver Time'!F50*'Crash Rates'!$B$21</f>
        <v>0</v>
      </c>
      <c r="O5" s="42">
        <f>'VMT Ton-Mile Driver Time'!M50*'Crash Rates'!$B$21</f>
        <v>0</v>
      </c>
      <c r="P5" s="43">
        <f t="shared" ref="P5:P40" si="3">O5-N5</f>
        <v>0</v>
      </c>
      <c r="Q5" s="43">
        <f t="shared" ref="Q5:Q40" si="4">E5+I5+M5+P5</f>
        <v>0</v>
      </c>
    </row>
    <row r="6" spans="1:17" x14ac:dyDescent="0.25">
      <c r="A6" s="37">
        <v>2017</v>
      </c>
      <c r="B6" s="198">
        <f>'VMT Ton-Mile Driver Time'!F7*'Crash Rates'!$B$10+'VMT Ton-Mile Driver Time'!F51*'Crash Rates'!$B$17</f>
        <v>0</v>
      </c>
      <c r="C6" s="4">
        <f>'VMT Ton-Mile Driver Time'!M7*'Crash Rates'!$B$10+'VMT Ton-Mile Driver Time'!M51*'Crash Rates'!$B$17</f>
        <v>0</v>
      </c>
      <c r="D6" s="4">
        <f t="shared" si="0"/>
        <v>0</v>
      </c>
      <c r="E6" s="42">
        <f>D6*'Monetized Values and Factors'!$M$89</f>
        <v>0</v>
      </c>
      <c r="F6" s="198">
        <f>'VMT Ton-Mile Driver Time'!F7*'Crash Rates'!$C$10+'VMT Ton-Mile Driver Time'!F51*'Crash Rates'!$C$17</f>
        <v>0</v>
      </c>
      <c r="G6" s="4">
        <f>'VMT Ton-Mile Driver Time'!M7*'Crash Rates'!$C$10+'VMT Ton-Mile Driver Time'!M51*'Crash Rates'!$C$17</f>
        <v>0</v>
      </c>
      <c r="H6" s="4">
        <f t="shared" si="1"/>
        <v>0</v>
      </c>
      <c r="I6" s="42">
        <f>H6*'Monetized Values and Factors'!$P$94</f>
        <v>0</v>
      </c>
      <c r="J6" s="198">
        <f>'VMT Ton-Mile Driver Time'!F7*'Crash Rates'!$D$10</f>
        <v>0</v>
      </c>
      <c r="K6" s="4">
        <f>'VMT Ton-Mile Driver Time'!M7*'Crash Rates'!$D$10</f>
        <v>0</v>
      </c>
      <c r="L6" s="4">
        <f t="shared" si="2"/>
        <v>0</v>
      </c>
      <c r="M6" s="42">
        <f>L6*'Monetized Values and Factors'!$M$102</f>
        <v>0</v>
      </c>
      <c r="N6" s="162">
        <f>'VMT Ton-Mile Driver Time'!F51*'Crash Rates'!$B$21</f>
        <v>0</v>
      </c>
      <c r="O6" s="42">
        <f>'VMT Ton-Mile Driver Time'!M51*'Crash Rates'!$B$21</f>
        <v>0</v>
      </c>
      <c r="P6" s="43">
        <f t="shared" si="3"/>
        <v>0</v>
      </c>
      <c r="Q6" s="43">
        <f t="shared" si="4"/>
        <v>0</v>
      </c>
    </row>
    <row r="7" spans="1:17" x14ac:dyDescent="0.25">
      <c r="A7" s="37">
        <v>2018</v>
      </c>
      <c r="B7" s="198">
        <f>'VMT Ton-Mile Driver Time'!F8*'Crash Rates'!$B$10+'VMT Ton-Mile Driver Time'!F52*'Crash Rates'!$B$17</f>
        <v>0</v>
      </c>
      <c r="C7" s="4">
        <f>'VMT Ton-Mile Driver Time'!M8*'Crash Rates'!$B$10+'VMT Ton-Mile Driver Time'!M52*'Crash Rates'!$B$17</f>
        <v>0</v>
      </c>
      <c r="D7" s="4">
        <f t="shared" si="0"/>
        <v>0</v>
      </c>
      <c r="E7" s="42">
        <f>D7*'Monetized Values and Factors'!$M$89</f>
        <v>0</v>
      </c>
      <c r="F7" s="198">
        <f>'VMT Ton-Mile Driver Time'!F8*'Crash Rates'!$C$10+'VMT Ton-Mile Driver Time'!F52*'Crash Rates'!$C$17</f>
        <v>0</v>
      </c>
      <c r="G7" s="4">
        <f>'VMT Ton-Mile Driver Time'!M8*'Crash Rates'!$C$10+'VMT Ton-Mile Driver Time'!M52*'Crash Rates'!$C$17</f>
        <v>0</v>
      </c>
      <c r="H7" s="4">
        <f t="shared" si="1"/>
        <v>0</v>
      </c>
      <c r="I7" s="42">
        <f>H7*'Monetized Values and Factors'!$P$94</f>
        <v>0</v>
      </c>
      <c r="J7" s="198">
        <f>'VMT Ton-Mile Driver Time'!F8*'Crash Rates'!$D$10</f>
        <v>0</v>
      </c>
      <c r="K7" s="4">
        <f>'VMT Ton-Mile Driver Time'!M8*'Crash Rates'!$D$10</f>
        <v>0</v>
      </c>
      <c r="L7" s="4">
        <f t="shared" si="2"/>
        <v>0</v>
      </c>
      <c r="M7" s="42">
        <f>L7*'Monetized Values and Factors'!$M$102</f>
        <v>0</v>
      </c>
      <c r="N7" s="162">
        <f>'VMT Ton-Mile Driver Time'!F52*'Crash Rates'!$B$21</f>
        <v>0</v>
      </c>
      <c r="O7" s="42">
        <f>'VMT Ton-Mile Driver Time'!M52*'Crash Rates'!$B$21</f>
        <v>0</v>
      </c>
      <c r="P7" s="43">
        <f t="shared" si="3"/>
        <v>0</v>
      </c>
      <c r="Q7" s="43">
        <f t="shared" si="4"/>
        <v>0</v>
      </c>
    </row>
    <row r="8" spans="1:17" x14ac:dyDescent="0.25">
      <c r="A8" s="37">
        <v>2019</v>
      </c>
      <c r="B8" s="198">
        <f>'VMT Ton-Mile Driver Time'!F9*'Crash Rates'!$B$10+'VMT Ton-Mile Driver Time'!F53*'Crash Rates'!$B$17</f>
        <v>0</v>
      </c>
      <c r="C8" s="4">
        <f>'VMT Ton-Mile Driver Time'!M9*'Crash Rates'!$B$10+'VMT Ton-Mile Driver Time'!M53*'Crash Rates'!$B$17</f>
        <v>0</v>
      </c>
      <c r="D8" s="4">
        <f t="shared" si="0"/>
        <v>0</v>
      </c>
      <c r="E8" s="42">
        <f>D8*'Monetized Values and Factors'!$M$89</f>
        <v>0</v>
      </c>
      <c r="F8" s="198">
        <f>'VMT Ton-Mile Driver Time'!F9*'Crash Rates'!$C$10+'VMT Ton-Mile Driver Time'!F53*'Crash Rates'!$C$17</f>
        <v>0</v>
      </c>
      <c r="G8" s="4">
        <f>'VMT Ton-Mile Driver Time'!M9*'Crash Rates'!$C$10+'VMT Ton-Mile Driver Time'!M53*'Crash Rates'!$C$17</f>
        <v>0</v>
      </c>
      <c r="H8" s="4">
        <f t="shared" si="1"/>
        <v>0</v>
      </c>
      <c r="I8" s="42">
        <f>H8*'Monetized Values and Factors'!$P$94</f>
        <v>0</v>
      </c>
      <c r="J8" s="198">
        <f>'VMT Ton-Mile Driver Time'!F9*'Crash Rates'!$D$10</f>
        <v>0</v>
      </c>
      <c r="K8" s="4">
        <f>'VMT Ton-Mile Driver Time'!M9*'Crash Rates'!$D$10</f>
        <v>0</v>
      </c>
      <c r="L8" s="4">
        <f t="shared" si="2"/>
        <v>0</v>
      </c>
      <c r="M8" s="42">
        <f>L8*'Monetized Values and Factors'!$M$102</f>
        <v>0</v>
      </c>
      <c r="N8" s="162">
        <f>'VMT Ton-Mile Driver Time'!F53*'Crash Rates'!$B$21</f>
        <v>0</v>
      </c>
      <c r="O8" s="42">
        <f>'VMT Ton-Mile Driver Time'!M53*'Crash Rates'!$B$21</f>
        <v>0</v>
      </c>
      <c r="P8" s="43">
        <f t="shared" si="3"/>
        <v>0</v>
      </c>
      <c r="Q8" s="43">
        <f t="shared" si="4"/>
        <v>0</v>
      </c>
    </row>
    <row r="9" spans="1:17" x14ac:dyDescent="0.25">
      <c r="A9" s="37">
        <v>2020</v>
      </c>
      <c r="B9" s="198">
        <f>'VMT Ton-Mile Driver Time'!F10*'Crash Rates'!$B$10+'VMT Ton-Mile Driver Time'!F54*'Crash Rates'!$B$17</f>
        <v>0</v>
      </c>
      <c r="C9" s="4">
        <f>'VMT Ton-Mile Driver Time'!M10*'Crash Rates'!$B$10+'VMT Ton-Mile Driver Time'!M54*'Crash Rates'!$B$17</f>
        <v>0</v>
      </c>
      <c r="D9" s="4">
        <f t="shared" si="0"/>
        <v>0</v>
      </c>
      <c r="E9" s="42">
        <f>D9*'Monetized Values and Factors'!$M$89</f>
        <v>0</v>
      </c>
      <c r="F9" s="198">
        <f>'VMT Ton-Mile Driver Time'!F10*'Crash Rates'!$C$10+'VMT Ton-Mile Driver Time'!F54*'Crash Rates'!$C$17</f>
        <v>0</v>
      </c>
      <c r="G9" s="4">
        <f>'VMT Ton-Mile Driver Time'!M10*'Crash Rates'!$C$10+'VMT Ton-Mile Driver Time'!M54*'Crash Rates'!$C$17</f>
        <v>0</v>
      </c>
      <c r="H9" s="4">
        <f t="shared" si="1"/>
        <v>0</v>
      </c>
      <c r="I9" s="42">
        <f>H9*'Monetized Values and Factors'!$P$94</f>
        <v>0</v>
      </c>
      <c r="J9" s="198">
        <f>'VMT Ton-Mile Driver Time'!F10*'Crash Rates'!$D$10</f>
        <v>0</v>
      </c>
      <c r="K9" s="4">
        <f>'VMT Ton-Mile Driver Time'!M10*'Crash Rates'!$D$10</f>
        <v>0</v>
      </c>
      <c r="L9" s="4">
        <f t="shared" si="2"/>
        <v>0</v>
      </c>
      <c r="M9" s="42">
        <f>L9*'Monetized Values and Factors'!$M$102</f>
        <v>0</v>
      </c>
      <c r="N9" s="162">
        <f>'VMT Ton-Mile Driver Time'!F54*'Crash Rates'!$B$21</f>
        <v>0</v>
      </c>
      <c r="O9" s="42">
        <f>'VMT Ton-Mile Driver Time'!M54*'Crash Rates'!$B$21</f>
        <v>0</v>
      </c>
      <c r="P9" s="43">
        <f t="shared" si="3"/>
        <v>0</v>
      </c>
      <c r="Q9" s="43">
        <f t="shared" si="4"/>
        <v>0</v>
      </c>
    </row>
    <row r="10" spans="1:17" x14ac:dyDescent="0.25">
      <c r="A10" s="37">
        <v>2021</v>
      </c>
      <c r="B10" s="199">
        <f>'VMT Ton-Mile Driver Time'!F11*'Crash Rates'!$B$10+'VMT Ton-Mile Driver Time'!F55*'Crash Rates'!$B$17</f>
        <v>0</v>
      </c>
      <c r="C10" s="197">
        <f>'VMT Ton-Mile Driver Time'!M11*'Crash Rates'!$B$10+'VMT Ton-Mile Driver Time'!M55*'Crash Rates'!$B$17</f>
        <v>0</v>
      </c>
      <c r="D10" s="4">
        <f t="shared" si="0"/>
        <v>0</v>
      </c>
      <c r="E10" s="42">
        <f>D10*'Monetized Values and Factors'!$M$89</f>
        <v>0</v>
      </c>
      <c r="F10" s="198">
        <f>'VMT Ton-Mile Driver Time'!F11*'Crash Rates'!$C$10+'VMT Ton-Mile Driver Time'!F55*'Crash Rates'!$C$17</f>
        <v>0</v>
      </c>
      <c r="G10" s="4">
        <f>'VMT Ton-Mile Driver Time'!M11*'Crash Rates'!$C$10+'VMT Ton-Mile Driver Time'!M55*'Crash Rates'!$C$17</f>
        <v>0</v>
      </c>
      <c r="H10" s="4">
        <f t="shared" si="1"/>
        <v>0</v>
      </c>
      <c r="I10" s="42">
        <f>H10*'Monetized Values and Factors'!$P$94</f>
        <v>0</v>
      </c>
      <c r="J10" s="198">
        <f>'VMT Ton-Mile Driver Time'!F11*'Crash Rates'!$D$10</f>
        <v>0</v>
      </c>
      <c r="K10" s="4">
        <f>'VMT Ton-Mile Driver Time'!M11*'Crash Rates'!$D$10</f>
        <v>0</v>
      </c>
      <c r="L10" s="4">
        <f t="shared" si="2"/>
        <v>0</v>
      </c>
      <c r="M10" s="42">
        <f>L10*'Monetized Values and Factors'!$M$102</f>
        <v>0</v>
      </c>
      <c r="N10" s="162">
        <f>'VMT Ton-Mile Driver Time'!F55*'Crash Rates'!$B$21</f>
        <v>0</v>
      </c>
      <c r="O10" s="42">
        <f>'VMT Ton-Mile Driver Time'!M55*'Crash Rates'!$B$21</f>
        <v>0</v>
      </c>
      <c r="P10" s="43">
        <f t="shared" si="3"/>
        <v>0</v>
      </c>
      <c r="Q10" s="43">
        <f t="shared" si="4"/>
        <v>0</v>
      </c>
    </row>
    <row r="11" spans="1:17" x14ac:dyDescent="0.25">
      <c r="A11" s="37">
        <v>2022</v>
      </c>
      <c r="B11" s="199">
        <f>'VMT Ton-Mile Driver Time'!F12*'Crash Rates'!$B$10+'VMT Ton-Mile Driver Time'!F56*'Crash Rates'!$B$17</f>
        <v>0</v>
      </c>
      <c r="C11" s="197">
        <f>'VMT Ton-Mile Driver Time'!M12*'Crash Rates'!$B$10+'VMT Ton-Mile Driver Time'!M56*'Crash Rates'!$B$17</f>
        <v>0</v>
      </c>
      <c r="D11" s="4">
        <f t="shared" si="0"/>
        <v>0</v>
      </c>
      <c r="E11" s="42">
        <f>D11*'Monetized Values and Factors'!$M$89</f>
        <v>0</v>
      </c>
      <c r="F11" s="287">
        <f>'VMT Ton-Mile Driver Time'!F12*'Crash Rates'!$C$10+'VMT Ton-Mile Driver Time'!F56*'Crash Rates'!$C$17</f>
        <v>0</v>
      </c>
      <c r="G11" s="286">
        <f>'VMT Ton-Mile Driver Time'!M12*'Crash Rates'!$C$10+'VMT Ton-Mile Driver Time'!M56*'Crash Rates'!$C$17</f>
        <v>0</v>
      </c>
      <c r="H11" s="286">
        <f t="shared" si="1"/>
        <v>0</v>
      </c>
      <c r="I11" s="42">
        <f>H11*'Monetized Values and Factors'!$P$94</f>
        <v>0</v>
      </c>
      <c r="J11" s="198">
        <f>'VMT Ton-Mile Driver Time'!F12*'Crash Rates'!$D$10</f>
        <v>0</v>
      </c>
      <c r="K11" s="4">
        <f>'VMT Ton-Mile Driver Time'!M12*'Crash Rates'!$D$10</f>
        <v>0</v>
      </c>
      <c r="L11" s="4">
        <f t="shared" si="2"/>
        <v>0</v>
      </c>
      <c r="M11" s="42">
        <f>L11*'Monetized Values and Factors'!$M$102</f>
        <v>0</v>
      </c>
      <c r="N11" s="162">
        <f>'VMT Ton-Mile Driver Time'!F56*'Crash Rates'!$B$21</f>
        <v>0</v>
      </c>
      <c r="O11" s="42">
        <f>'VMT Ton-Mile Driver Time'!M56*'Crash Rates'!$B$21</f>
        <v>0</v>
      </c>
      <c r="P11" s="43">
        <f t="shared" si="3"/>
        <v>0</v>
      </c>
      <c r="Q11" s="43">
        <f t="shared" si="4"/>
        <v>0</v>
      </c>
    </row>
    <row r="12" spans="1:17" x14ac:dyDescent="0.25">
      <c r="A12" s="37">
        <v>2023</v>
      </c>
      <c r="B12" s="199">
        <f>'VMT Ton-Mile Driver Time'!F13*'Crash Rates'!$B$10+'VMT Ton-Mile Driver Time'!F57*'Crash Rates'!$B$17</f>
        <v>4.2551244316236692E-2</v>
      </c>
      <c r="C12" s="197">
        <f>'VMT Ton-Mile Driver Time'!M13*'Crash Rates'!$B$10+'VMT Ton-Mile Driver Time'!M57*'Crash Rates'!$B$17</f>
        <v>0.10063815047133133</v>
      </c>
      <c r="D12" s="4">
        <f t="shared" si="0"/>
        <v>5.8086906155094639E-2</v>
      </c>
      <c r="E12" s="42">
        <f>D12*'Monetized Values and Factors'!$M$89</f>
        <v>557634.29908890859</v>
      </c>
      <c r="F12" s="287">
        <f>'VMT Ton-Mile Driver Time'!F13*'Crash Rates'!$C$10+'VMT Ton-Mile Driver Time'!F57*'Crash Rates'!$C$17</f>
        <v>1.2960002775971351</v>
      </c>
      <c r="G12" s="286">
        <f>'VMT Ton-Mile Driver Time'!M13*'Crash Rates'!$C$10+'VMT Ton-Mile Driver Time'!M57*'Crash Rates'!$C$17</f>
        <v>3.0594307689423572</v>
      </c>
      <c r="H12" s="286">
        <f t="shared" si="1"/>
        <v>1.7634304913452221</v>
      </c>
      <c r="I12" s="42">
        <f>H12*'Monetized Values and Factors'!$P$94</f>
        <v>795659.83769496426</v>
      </c>
      <c r="J12" s="198">
        <f>'VMT Ton-Mile Driver Time'!F13*'Crash Rates'!$D$10</f>
        <v>3.1161992135257983</v>
      </c>
      <c r="K12" s="4">
        <f>'VMT Ton-Mile Driver Time'!M13*'Crash Rates'!$D$10</f>
        <v>7.3479079426258718</v>
      </c>
      <c r="L12" s="4">
        <f t="shared" si="2"/>
        <v>4.2317087291000739</v>
      </c>
      <c r="M12" s="42">
        <f>L12*'Monetized Values and Factors'!$M$102</f>
        <v>18196.347535130317</v>
      </c>
      <c r="N12" s="162">
        <f>'VMT Ton-Mile Driver Time'!F57*'Crash Rates'!$B$21</f>
        <v>3437.9196478873228</v>
      </c>
      <c r="O12" s="42">
        <f>'VMT Ton-Mile Driver Time'!M57*'Crash Rates'!$B$21</f>
        <v>9464.7667068990577</v>
      </c>
      <c r="P12" s="43">
        <f t="shared" si="3"/>
        <v>6026.8470590117349</v>
      </c>
      <c r="Q12" s="43">
        <f t="shared" si="4"/>
        <v>1377517.3313780148</v>
      </c>
    </row>
    <row r="13" spans="1:17" x14ac:dyDescent="0.25">
      <c r="A13" s="37">
        <v>2024</v>
      </c>
      <c r="B13" s="199">
        <f>'VMT Ton-Mile Driver Time'!F14*'Crash Rates'!$B$10+'VMT Ton-Mile Driver Time'!F58*'Crash Rates'!$B$17</f>
        <v>8.5102488632473383E-2</v>
      </c>
      <c r="C13" s="197">
        <f>'VMT Ton-Mile Driver Time'!M14*'Crash Rates'!$B$10+'VMT Ton-Mile Driver Time'!M58*'Crash Rates'!$B$17</f>
        <v>0.20127630094266266</v>
      </c>
      <c r="D13" s="4">
        <f t="shared" si="0"/>
        <v>0.11617381231018928</v>
      </c>
      <c r="E13" s="42">
        <f>D13*'Monetized Values and Factors'!$M$89</f>
        <v>1115268.5981778172</v>
      </c>
      <c r="F13" s="287">
        <f>'VMT Ton-Mile Driver Time'!F14*'Crash Rates'!$C$10+'VMT Ton-Mile Driver Time'!F58*'Crash Rates'!$C$17</f>
        <v>2.5920005551942702</v>
      </c>
      <c r="G13" s="286">
        <f>'VMT Ton-Mile Driver Time'!M14*'Crash Rates'!$C$10+'VMT Ton-Mile Driver Time'!M58*'Crash Rates'!$C$17</f>
        <v>6.1188615378847144</v>
      </c>
      <c r="H13" s="286">
        <f t="shared" si="1"/>
        <v>3.5268609826904442</v>
      </c>
      <c r="I13" s="42">
        <f>H13*'Monetized Values and Factors'!$P$94</f>
        <v>1591319.6753899285</v>
      </c>
      <c r="J13" s="198">
        <f>'VMT Ton-Mile Driver Time'!F14*'Crash Rates'!$D$10</f>
        <v>6.2323984270515966</v>
      </c>
      <c r="K13" s="4">
        <f>'VMT Ton-Mile Driver Time'!M14*'Crash Rates'!$D$10</f>
        <v>14.695815885251744</v>
      </c>
      <c r="L13" s="4">
        <f t="shared" si="2"/>
        <v>8.4634174582001478</v>
      </c>
      <c r="M13" s="42">
        <f>L13*'Monetized Values and Factors'!$M$102</f>
        <v>36392.695070260634</v>
      </c>
      <c r="N13" s="162">
        <f>'VMT Ton-Mile Driver Time'!F58*'Crash Rates'!$B$21</f>
        <v>6875.8392957746455</v>
      </c>
      <c r="O13" s="42">
        <f>'VMT Ton-Mile Driver Time'!M58*'Crash Rates'!$B$21</f>
        <v>18929.533413798115</v>
      </c>
      <c r="P13" s="43">
        <f t="shared" si="3"/>
        <v>12053.69411802347</v>
      </c>
      <c r="Q13" s="43">
        <f t="shared" si="4"/>
        <v>2755034.6627560295</v>
      </c>
    </row>
    <row r="14" spans="1:17" x14ac:dyDescent="0.25">
      <c r="A14" s="37">
        <v>2025</v>
      </c>
      <c r="B14" s="199">
        <f>'VMT Ton-Mile Driver Time'!F15*'Crash Rates'!$B$10+'VMT Ton-Mile Driver Time'!F59*'Crash Rates'!$B$17</f>
        <v>0.12765373294871007</v>
      </c>
      <c r="C14" s="197">
        <f>'VMT Ton-Mile Driver Time'!M15*'Crash Rates'!$B$10+'VMT Ton-Mile Driver Time'!M59*'Crash Rates'!$B$17</f>
        <v>0.30191445141399392</v>
      </c>
      <c r="D14" s="4">
        <f t="shared" si="0"/>
        <v>0.17426071846528385</v>
      </c>
      <c r="E14" s="42">
        <f>D14*'Monetized Values and Factors'!$M$89</f>
        <v>1672902.8972667248</v>
      </c>
      <c r="F14" s="287">
        <f>'VMT Ton-Mile Driver Time'!F15*'Crash Rates'!$C$10+'VMT Ton-Mile Driver Time'!F59*'Crash Rates'!$C$17</f>
        <v>3.8880008327914051</v>
      </c>
      <c r="G14" s="286">
        <f>'VMT Ton-Mile Driver Time'!M15*'Crash Rates'!$C$10+'VMT Ton-Mile Driver Time'!M59*'Crash Rates'!$C$17</f>
        <v>9.1782923068270694</v>
      </c>
      <c r="H14" s="286">
        <f t="shared" si="1"/>
        <v>5.2902914740356639</v>
      </c>
      <c r="I14" s="42">
        <f>H14*'Monetized Values and Factors'!$P$94</f>
        <v>2386979.5130848917</v>
      </c>
      <c r="J14" s="198">
        <f>'VMT Ton-Mile Driver Time'!F15*'Crash Rates'!$D$10</f>
        <v>9.3485976405773954</v>
      </c>
      <c r="K14" s="4">
        <f>'VMT Ton-Mile Driver Time'!M15*'Crash Rates'!$D$10</f>
        <v>22.043723827877614</v>
      </c>
      <c r="L14" s="4">
        <f t="shared" si="2"/>
        <v>12.695126187300218</v>
      </c>
      <c r="M14" s="42">
        <f>L14*'Monetized Values and Factors'!$M$102</f>
        <v>54589.04260539094</v>
      </c>
      <c r="N14" s="162">
        <f>'VMT Ton-Mile Driver Time'!F59*'Crash Rates'!$B$21</f>
        <v>10313.758943661969</v>
      </c>
      <c r="O14" s="42">
        <f>'VMT Ton-Mile Driver Time'!M59*'Crash Rates'!$B$21</f>
        <v>28394.300120697171</v>
      </c>
      <c r="P14" s="43">
        <f t="shared" si="3"/>
        <v>18080.5411770352</v>
      </c>
      <c r="Q14" s="43">
        <f t="shared" si="4"/>
        <v>4132551.9941340424</v>
      </c>
    </row>
    <row r="15" spans="1:17" x14ac:dyDescent="0.25">
      <c r="A15" s="37">
        <v>2026</v>
      </c>
      <c r="B15" s="199">
        <f>'VMT Ton-Mile Driver Time'!F16*'Crash Rates'!$B$10+'VMT Ton-Mile Driver Time'!F60*'Crash Rates'!$B$17</f>
        <v>0.17020497726494677</v>
      </c>
      <c r="C15" s="197">
        <f>'VMT Ton-Mile Driver Time'!M16*'Crash Rates'!$B$10+'VMT Ton-Mile Driver Time'!M60*'Crash Rates'!$B$17</f>
        <v>0.40255260188532532</v>
      </c>
      <c r="D15" s="4">
        <f t="shared" si="0"/>
        <v>0.23234762462037856</v>
      </c>
      <c r="E15" s="42">
        <f>D15*'Monetized Values and Factors'!$M$89</f>
        <v>2230537.1963556344</v>
      </c>
      <c r="F15" s="287">
        <f>'VMT Ton-Mile Driver Time'!F16*'Crash Rates'!$C$10+'VMT Ton-Mile Driver Time'!F60*'Crash Rates'!$C$17</f>
        <v>5.1840011103885404</v>
      </c>
      <c r="G15" s="286">
        <f>'VMT Ton-Mile Driver Time'!M16*'Crash Rates'!$C$10+'VMT Ton-Mile Driver Time'!M60*'Crash Rates'!$C$17</f>
        <v>12.237723075769429</v>
      </c>
      <c r="H15" s="286">
        <f t="shared" si="1"/>
        <v>7.0537219653808885</v>
      </c>
      <c r="I15" s="42">
        <f>H15*'Monetized Values and Factors'!$P$94</f>
        <v>3182639.350779857</v>
      </c>
      <c r="J15" s="198">
        <f>'VMT Ton-Mile Driver Time'!F16*'Crash Rates'!$D$10</f>
        <v>12.464796854103193</v>
      </c>
      <c r="K15" s="4">
        <f>'VMT Ton-Mile Driver Time'!M16*'Crash Rates'!$D$10</f>
        <v>29.391631770503487</v>
      </c>
      <c r="L15" s="4">
        <f t="shared" si="2"/>
        <v>16.926834916400296</v>
      </c>
      <c r="M15" s="42">
        <f>L15*'Monetized Values and Factors'!$M$102</f>
        <v>72785.390140521267</v>
      </c>
      <c r="N15" s="162">
        <f>'VMT Ton-Mile Driver Time'!F60*'Crash Rates'!$B$21</f>
        <v>13751.678591549291</v>
      </c>
      <c r="O15" s="42">
        <f>'VMT Ton-Mile Driver Time'!M60*'Crash Rates'!$B$21</f>
        <v>37859.066827596231</v>
      </c>
      <c r="P15" s="43">
        <f t="shared" si="3"/>
        <v>24107.38823604694</v>
      </c>
      <c r="Q15" s="43">
        <f t="shared" si="4"/>
        <v>5510069.325512059</v>
      </c>
    </row>
    <row r="16" spans="1:17" x14ac:dyDescent="0.25">
      <c r="A16" s="37">
        <v>2027</v>
      </c>
      <c r="B16" s="199">
        <f>'VMT Ton-Mile Driver Time'!F17*'Crash Rates'!$B$10+'VMT Ton-Mile Driver Time'!F61*'Crash Rates'!$B$17</f>
        <v>0.21275622158118346</v>
      </c>
      <c r="C16" s="197">
        <f>'VMT Ton-Mile Driver Time'!M17*'Crash Rates'!$B$10+'VMT Ton-Mile Driver Time'!M61*'Crash Rates'!$B$17</f>
        <v>0.50319075235665656</v>
      </c>
      <c r="D16" s="4">
        <f t="shared" si="0"/>
        <v>0.2904345307754731</v>
      </c>
      <c r="E16" s="42">
        <f>D16*'Monetized Values and Factors'!$M$89</f>
        <v>2788171.4954445418</v>
      </c>
      <c r="F16" s="287">
        <f>'VMT Ton-Mile Driver Time'!F17*'Crash Rates'!$C$10+'VMT Ton-Mile Driver Time'!F61*'Crash Rates'!$C$17</f>
        <v>6.4800013879856753</v>
      </c>
      <c r="G16" s="286">
        <f>'VMT Ton-Mile Driver Time'!M17*'Crash Rates'!$C$10+'VMT Ton-Mile Driver Time'!M61*'Crash Rates'!$C$17</f>
        <v>15.297153844711787</v>
      </c>
      <c r="H16" s="286">
        <f t="shared" si="1"/>
        <v>8.8171524567261113</v>
      </c>
      <c r="I16" s="42">
        <f>H16*'Monetized Values and Factors'!$P$94</f>
        <v>3978299.1884748214</v>
      </c>
      <c r="J16" s="198">
        <f>'VMT Ton-Mile Driver Time'!F17*'Crash Rates'!$D$10</f>
        <v>15.580996067628993</v>
      </c>
      <c r="K16" s="4">
        <f>'VMT Ton-Mile Driver Time'!M17*'Crash Rates'!$D$10</f>
        <v>36.739539713129354</v>
      </c>
      <c r="L16" s="4">
        <f t="shared" si="2"/>
        <v>21.158543645500359</v>
      </c>
      <c r="M16" s="42">
        <f>L16*'Monetized Values and Factors'!$M$102</f>
        <v>90981.737675651544</v>
      </c>
      <c r="N16" s="162">
        <f>'VMT Ton-Mile Driver Time'!F61*'Crash Rates'!$B$21</f>
        <v>17189.598239436618</v>
      </c>
      <c r="O16" s="42">
        <f>'VMT Ton-Mile Driver Time'!M61*'Crash Rates'!$B$21</f>
        <v>47323.833534495287</v>
      </c>
      <c r="P16" s="43">
        <f t="shared" si="3"/>
        <v>30134.235295058668</v>
      </c>
      <c r="Q16" s="43">
        <f t="shared" si="4"/>
        <v>6887586.6568900729</v>
      </c>
    </row>
    <row r="17" spans="1:17" x14ac:dyDescent="0.25">
      <c r="A17" s="37">
        <v>2028</v>
      </c>
      <c r="B17" s="199">
        <f>'VMT Ton-Mile Driver Time'!F18*'Crash Rates'!$B$10+'VMT Ton-Mile Driver Time'!F62*'Crash Rates'!$B$17</f>
        <v>0.25530746589742015</v>
      </c>
      <c r="C17" s="197">
        <f>'VMT Ton-Mile Driver Time'!M18*'Crash Rates'!$B$10+'VMT Ton-Mile Driver Time'!M62*'Crash Rates'!$B$17</f>
        <v>0.60382890282798785</v>
      </c>
      <c r="D17" s="4">
        <f>C17-B17</f>
        <v>0.3485214369305677</v>
      </c>
      <c r="E17" s="42">
        <f>D17*'Monetized Values and Factors'!$M$89</f>
        <v>3345805.7945334497</v>
      </c>
      <c r="F17" s="287">
        <f>'VMT Ton-Mile Driver Time'!F18*'Crash Rates'!$C$10+'VMT Ton-Mile Driver Time'!F62*'Crash Rates'!$C$17</f>
        <v>7.7760016655828101</v>
      </c>
      <c r="G17" s="286">
        <f>'VMT Ton-Mile Driver Time'!M18*'Crash Rates'!$C$10+'VMT Ton-Mile Driver Time'!M62*'Crash Rates'!$C$17</f>
        <v>18.356584613654139</v>
      </c>
      <c r="H17" s="286">
        <f t="shared" si="1"/>
        <v>10.580582948071328</v>
      </c>
      <c r="I17" s="42">
        <f>H17*'Monetized Values and Factors'!$P$94</f>
        <v>4773959.0261697834</v>
      </c>
      <c r="J17" s="198">
        <f>'VMT Ton-Mile Driver Time'!F18*'Crash Rates'!$D$10</f>
        <v>18.697195281154791</v>
      </c>
      <c r="K17" s="4">
        <f>'VMT Ton-Mile Driver Time'!M18*'Crash Rates'!$D$10</f>
        <v>44.087447655755227</v>
      </c>
      <c r="L17" s="4">
        <f t="shared" si="2"/>
        <v>25.390252374600436</v>
      </c>
      <c r="M17" s="42">
        <f>L17*'Monetized Values and Factors'!$M$102</f>
        <v>109178.08521078188</v>
      </c>
      <c r="N17" s="162">
        <f>'VMT Ton-Mile Driver Time'!F62*'Crash Rates'!$B$21</f>
        <v>20627.517887323938</v>
      </c>
      <c r="O17" s="42">
        <f>'VMT Ton-Mile Driver Time'!M62*'Crash Rates'!$B$21</f>
        <v>56788.600241394342</v>
      </c>
      <c r="P17" s="43">
        <f t="shared" si="3"/>
        <v>36161.0823540704</v>
      </c>
      <c r="Q17" s="43">
        <f t="shared" si="4"/>
        <v>8265103.9882680848</v>
      </c>
    </row>
    <row r="18" spans="1:17" x14ac:dyDescent="0.25">
      <c r="A18" s="37">
        <v>2029</v>
      </c>
      <c r="B18" s="199">
        <f>'VMT Ton-Mile Driver Time'!F19*'Crash Rates'!$B$10+'VMT Ton-Mile Driver Time'!F63*'Crash Rates'!$B$17</f>
        <v>0.34040995452989353</v>
      </c>
      <c r="C18" s="197">
        <f>'VMT Ton-Mile Driver Time'!M19*'Crash Rates'!$B$10+'VMT Ton-Mile Driver Time'!M63*'Crash Rates'!$B$17</f>
        <v>0.80510520377065065</v>
      </c>
      <c r="D18" s="4">
        <f t="shared" si="0"/>
        <v>0.46469524924075711</v>
      </c>
      <c r="E18" s="42">
        <f>D18*'Monetized Values and Factors'!$M$89</f>
        <v>4461074.3927112687</v>
      </c>
      <c r="F18" s="287">
        <f>'VMT Ton-Mile Driver Time'!F19*'Crash Rates'!$C$10+'VMT Ton-Mile Driver Time'!F63*'Crash Rates'!$C$17</f>
        <v>10.368002220777081</v>
      </c>
      <c r="G18" s="286">
        <f>'VMT Ton-Mile Driver Time'!M19*'Crash Rates'!$C$10+'VMT Ton-Mile Driver Time'!M63*'Crash Rates'!$C$17</f>
        <v>24.475446151538858</v>
      </c>
      <c r="H18" s="286">
        <f t="shared" si="1"/>
        <v>14.107443930761777</v>
      </c>
      <c r="I18" s="42">
        <f>H18*'Monetized Values and Factors'!$P$94</f>
        <v>6365278.701559714</v>
      </c>
      <c r="J18" s="198">
        <f>'VMT Ton-Mile Driver Time'!F19*'Crash Rates'!$D$10</f>
        <v>24.929593708206387</v>
      </c>
      <c r="K18" s="4">
        <f>'VMT Ton-Mile Driver Time'!M19*'Crash Rates'!$D$10</f>
        <v>58.783263541006974</v>
      </c>
      <c r="L18" s="4">
        <f t="shared" si="2"/>
        <v>33.853669832800591</v>
      </c>
      <c r="M18" s="42">
        <f>L18*'Monetized Values and Factors'!$M$102</f>
        <v>145570.78028104253</v>
      </c>
      <c r="N18" s="162">
        <f>'VMT Ton-Mile Driver Time'!F63*'Crash Rates'!$B$21</f>
        <v>27503.357183098582</v>
      </c>
      <c r="O18" s="42">
        <f>'VMT Ton-Mile Driver Time'!M63*'Crash Rates'!$B$21</f>
        <v>75718.133655192461</v>
      </c>
      <c r="P18" s="43">
        <f t="shared" si="3"/>
        <v>48214.776472093879</v>
      </c>
      <c r="Q18" s="43">
        <f t="shared" si="4"/>
        <v>11020138.651024118</v>
      </c>
    </row>
    <row r="19" spans="1:17" x14ac:dyDescent="0.25">
      <c r="A19" s="37">
        <v>2030</v>
      </c>
      <c r="B19" s="199">
        <f>'VMT Ton-Mile Driver Time'!F20*'Crash Rates'!$B$10+'VMT Ton-Mile Driver Time'!F64*'Crash Rates'!$B$17</f>
        <v>0.42551244316236692</v>
      </c>
      <c r="C19" s="197">
        <f>'VMT Ton-Mile Driver Time'!M20*'Crash Rates'!$B$10+'VMT Ton-Mile Driver Time'!M64*'Crash Rates'!$B$17</f>
        <v>1.0063815047133131</v>
      </c>
      <c r="D19" s="4">
        <f t="shared" si="0"/>
        <v>0.5808690615509462</v>
      </c>
      <c r="E19" s="42">
        <f>D19*'Monetized Values and Factors'!$M$89</f>
        <v>5576342.9908890836</v>
      </c>
      <c r="F19" s="287">
        <f>'VMT Ton-Mile Driver Time'!F20*'Crash Rates'!$C$10+'VMT Ton-Mile Driver Time'!F64*'Crash Rates'!$C$17</f>
        <v>12.960002775971351</v>
      </c>
      <c r="G19" s="286">
        <f>'VMT Ton-Mile Driver Time'!M20*'Crash Rates'!$C$10+'VMT Ton-Mile Driver Time'!M64*'Crash Rates'!$C$17</f>
        <v>30.594307689423573</v>
      </c>
      <c r="H19" s="286">
        <f t="shared" si="1"/>
        <v>17.634304913452223</v>
      </c>
      <c r="I19" s="42">
        <f>H19*'Monetized Values and Factors'!$P$94</f>
        <v>7956598.3769496428</v>
      </c>
      <c r="J19" s="198">
        <f>'VMT Ton-Mile Driver Time'!F20*'Crash Rates'!$D$10</f>
        <v>31.161992135257986</v>
      </c>
      <c r="K19" s="4">
        <f>'VMT Ton-Mile Driver Time'!M20*'Crash Rates'!$D$10</f>
        <v>73.479079426258707</v>
      </c>
      <c r="L19" s="4">
        <f t="shared" si="2"/>
        <v>42.317087291000718</v>
      </c>
      <c r="M19" s="42">
        <f>L19*'Monetized Values and Factors'!$M$102</f>
        <v>181963.47535130309</v>
      </c>
      <c r="N19" s="162">
        <f>'VMT Ton-Mile Driver Time'!F64*'Crash Rates'!$B$21</f>
        <v>34379.196478873237</v>
      </c>
      <c r="O19" s="42">
        <f>'VMT Ton-Mile Driver Time'!M64*'Crash Rates'!$B$21</f>
        <v>94647.667068990573</v>
      </c>
      <c r="P19" s="43">
        <f t="shared" si="3"/>
        <v>60268.470590117337</v>
      </c>
      <c r="Q19" s="43">
        <f t="shared" si="4"/>
        <v>13775173.313780146</v>
      </c>
    </row>
    <row r="20" spans="1:17" x14ac:dyDescent="0.25">
      <c r="A20" s="37">
        <v>2031</v>
      </c>
      <c r="B20" s="199">
        <f>'VMT Ton-Mile Driver Time'!F21*'Crash Rates'!$B$10+'VMT Ton-Mile Driver Time'!F65*'Crash Rates'!$B$17</f>
        <v>0.5106149317948403</v>
      </c>
      <c r="C20" s="197">
        <f>'VMT Ton-Mile Driver Time'!M21*'Crash Rates'!$B$10+'VMT Ton-Mile Driver Time'!M65*'Crash Rates'!$B$17</f>
        <v>1.2076578056559757</v>
      </c>
      <c r="D20" s="4">
        <f t="shared" si="0"/>
        <v>0.69704287386113539</v>
      </c>
      <c r="E20" s="42">
        <f>D20*'Monetized Values and Factors'!$M$89</f>
        <v>6691611.5890668994</v>
      </c>
      <c r="F20" s="287">
        <f>'VMT Ton-Mile Driver Time'!F21*'Crash Rates'!$C$10+'VMT Ton-Mile Driver Time'!F65*'Crash Rates'!$C$17</f>
        <v>15.55200333116562</v>
      </c>
      <c r="G20" s="286">
        <f>'VMT Ton-Mile Driver Time'!M21*'Crash Rates'!$C$10+'VMT Ton-Mile Driver Time'!M65*'Crash Rates'!$C$17</f>
        <v>36.713169227308278</v>
      </c>
      <c r="H20" s="286">
        <f t="shared" si="1"/>
        <v>21.161165896142656</v>
      </c>
      <c r="I20" s="42">
        <f>H20*'Monetized Values and Factors'!$P$94</f>
        <v>9547918.0523395669</v>
      </c>
      <c r="J20" s="198">
        <f>'VMT Ton-Mile Driver Time'!F21*'Crash Rates'!$D$10</f>
        <v>37.394390562309582</v>
      </c>
      <c r="K20" s="4">
        <f>'VMT Ton-Mile Driver Time'!M21*'Crash Rates'!$D$10</f>
        <v>88.174895311510454</v>
      </c>
      <c r="L20" s="4">
        <f t="shared" si="2"/>
        <v>50.780504749200873</v>
      </c>
      <c r="M20" s="42">
        <f>L20*'Monetized Values and Factors'!$M$102</f>
        <v>218356.17042156376</v>
      </c>
      <c r="N20" s="162">
        <f>'VMT Ton-Mile Driver Time'!F65*'Crash Rates'!$B$21</f>
        <v>41255.035774647877</v>
      </c>
      <c r="O20" s="42">
        <f>'VMT Ton-Mile Driver Time'!M65*'Crash Rates'!$B$21</f>
        <v>113577.20048278868</v>
      </c>
      <c r="P20" s="43">
        <f t="shared" si="3"/>
        <v>72322.164708140801</v>
      </c>
      <c r="Q20" s="43">
        <f t="shared" si="4"/>
        <v>16530207.97653617</v>
      </c>
    </row>
    <row r="21" spans="1:17" x14ac:dyDescent="0.25">
      <c r="A21" s="37">
        <v>2032</v>
      </c>
      <c r="B21" s="199">
        <f>'VMT Ton-Mile Driver Time'!F22*'Crash Rates'!$B$10+'VMT Ton-Mile Driver Time'!F66*'Crash Rates'!$B$17</f>
        <v>0.62124816701705554</v>
      </c>
      <c r="C21" s="197">
        <f>'VMT Ton-Mile Driver Time'!M22*'Crash Rates'!$B$10+'VMT Ton-Mile Driver Time'!M66*'Crash Rates'!$B$17</f>
        <v>1.4693169968814375</v>
      </c>
      <c r="D21" s="4">
        <f t="shared" si="0"/>
        <v>0.84806882986438192</v>
      </c>
      <c r="E21" s="42">
        <f>D21*'Monetized Values and Factors'!$M$89</f>
        <v>8141460.7666980661</v>
      </c>
      <c r="F21" s="287">
        <f>'VMT Ton-Mile Driver Time'!F22*'Crash Rates'!$C$10+'VMT Ton-Mile Driver Time'!F66*'Crash Rates'!$C$17</f>
        <v>18.921604052918166</v>
      </c>
      <c r="G21" s="286">
        <f>'VMT Ton-Mile Driver Time'!M22*'Crash Rates'!$C$10+'VMT Ton-Mile Driver Time'!M66*'Crash Rates'!$C$17</f>
        <v>44.667689226558416</v>
      </c>
      <c r="H21" s="286">
        <f t="shared" si="1"/>
        <v>25.74608517364025</v>
      </c>
      <c r="I21" s="42">
        <f>H21*'Monetized Values and Factors'!$P$94</f>
        <v>11616633.630346481</v>
      </c>
      <c r="J21" s="198">
        <f>'VMT Ton-Mile Driver Time'!F22*'Crash Rates'!$D$10</f>
        <v>45.496508517476649</v>
      </c>
      <c r="K21" s="4">
        <f>'VMT Ton-Mile Driver Time'!M22*'Crash Rates'!$D$10</f>
        <v>107.27945596233772</v>
      </c>
      <c r="L21" s="4">
        <f t="shared" si="2"/>
        <v>61.782947444861072</v>
      </c>
      <c r="M21" s="42">
        <f>L21*'Monetized Values and Factors'!$M$102</f>
        <v>265666.6740129026</v>
      </c>
      <c r="N21" s="162">
        <f>'VMT Ton-Mile Driver Time'!F66*'Crash Rates'!$B$21</f>
        <v>50193.626859154923</v>
      </c>
      <c r="O21" s="42">
        <f>'VMT Ton-Mile Driver Time'!M66*'Crash Rates'!$B$21</f>
        <v>138185.59392072624</v>
      </c>
      <c r="P21" s="43">
        <f t="shared" si="3"/>
        <v>87991.967061571311</v>
      </c>
      <c r="Q21" s="43">
        <f t="shared" si="4"/>
        <v>20111753.038119022</v>
      </c>
    </row>
    <row r="22" spans="1:17" x14ac:dyDescent="0.25">
      <c r="A22" s="37">
        <v>2033</v>
      </c>
      <c r="B22" s="199">
        <f>'VMT Ton-Mile Driver Time'!F23*'Crash Rates'!$B$10+'VMT Ton-Mile Driver Time'!F67*'Crash Rates'!$B$17</f>
        <v>0.62124816701705554</v>
      </c>
      <c r="C22" s="197">
        <f>'VMT Ton-Mile Driver Time'!M23*'Crash Rates'!$B$10+'VMT Ton-Mile Driver Time'!M67*'Crash Rates'!$B$17</f>
        <v>1.4693169968814375</v>
      </c>
      <c r="D22" s="4">
        <f t="shared" si="0"/>
        <v>0.84806882986438192</v>
      </c>
      <c r="E22" s="42">
        <f>D22*'Monetized Values and Factors'!$M$89</f>
        <v>8141460.7666980661</v>
      </c>
      <c r="F22" s="287">
        <f>'VMT Ton-Mile Driver Time'!F23*'Crash Rates'!$C$10+'VMT Ton-Mile Driver Time'!F67*'Crash Rates'!$C$17</f>
        <v>18.921604052918166</v>
      </c>
      <c r="G22" s="286">
        <f>'VMT Ton-Mile Driver Time'!M23*'Crash Rates'!$C$10+'VMT Ton-Mile Driver Time'!M67*'Crash Rates'!$C$17</f>
        <v>44.667689226558416</v>
      </c>
      <c r="H22" s="286">
        <f t="shared" si="1"/>
        <v>25.74608517364025</v>
      </c>
      <c r="I22" s="42">
        <f>H22*'Monetized Values and Factors'!$P$94</f>
        <v>11616633.630346481</v>
      </c>
      <c r="J22" s="198">
        <f>'VMT Ton-Mile Driver Time'!F23*'Crash Rates'!$D$10</f>
        <v>45.496508517476649</v>
      </c>
      <c r="K22" s="4">
        <f>'VMT Ton-Mile Driver Time'!M23*'Crash Rates'!$D$10</f>
        <v>107.27945596233772</v>
      </c>
      <c r="L22" s="4">
        <f t="shared" si="2"/>
        <v>61.782947444861072</v>
      </c>
      <c r="M22" s="42">
        <f>L22*'Monetized Values and Factors'!$M$102</f>
        <v>265666.6740129026</v>
      </c>
      <c r="N22" s="162">
        <f>'VMT Ton-Mile Driver Time'!F67*'Crash Rates'!$B$21</f>
        <v>50193.626859154923</v>
      </c>
      <c r="O22" s="42">
        <f>'VMT Ton-Mile Driver Time'!M67*'Crash Rates'!$B$21</f>
        <v>138185.59392072624</v>
      </c>
      <c r="P22" s="43">
        <f t="shared" si="3"/>
        <v>87991.967061571311</v>
      </c>
      <c r="Q22" s="43">
        <f t="shared" si="4"/>
        <v>20111753.038119022</v>
      </c>
    </row>
    <row r="23" spans="1:17" x14ac:dyDescent="0.25">
      <c r="A23" s="37">
        <v>2034</v>
      </c>
      <c r="B23" s="199">
        <f>'VMT Ton-Mile Driver Time'!F24*'Crash Rates'!$B$10+'VMT Ton-Mile Driver Time'!F68*'Crash Rates'!$B$17</f>
        <v>0.62124816701705554</v>
      </c>
      <c r="C23" s="197">
        <f>'VMT Ton-Mile Driver Time'!M24*'Crash Rates'!$B$10+'VMT Ton-Mile Driver Time'!M68*'Crash Rates'!$B$17</f>
        <v>1.4693169968814375</v>
      </c>
      <c r="D23" s="4">
        <f t="shared" si="0"/>
        <v>0.84806882986438192</v>
      </c>
      <c r="E23" s="42">
        <f>D23*'Monetized Values and Factors'!$M$89</f>
        <v>8141460.7666980661</v>
      </c>
      <c r="F23" s="287">
        <f>'VMT Ton-Mile Driver Time'!F24*'Crash Rates'!$C$10+'VMT Ton-Mile Driver Time'!F68*'Crash Rates'!$C$17</f>
        <v>18.921604052918166</v>
      </c>
      <c r="G23" s="286">
        <f>'VMT Ton-Mile Driver Time'!M24*'Crash Rates'!$C$10+'VMT Ton-Mile Driver Time'!M68*'Crash Rates'!$C$17</f>
        <v>44.667689226558416</v>
      </c>
      <c r="H23" s="286">
        <f t="shared" si="1"/>
        <v>25.74608517364025</v>
      </c>
      <c r="I23" s="42">
        <f>H23*'Monetized Values and Factors'!$P$94</f>
        <v>11616633.630346481</v>
      </c>
      <c r="J23" s="198">
        <f>'VMT Ton-Mile Driver Time'!F24*'Crash Rates'!$D$10</f>
        <v>45.496508517476649</v>
      </c>
      <c r="K23" s="4">
        <f>'VMT Ton-Mile Driver Time'!M24*'Crash Rates'!$D$10</f>
        <v>107.27945596233772</v>
      </c>
      <c r="L23" s="4">
        <f t="shared" si="2"/>
        <v>61.782947444861072</v>
      </c>
      <c r="M23" s="42">
        <f>L23*'Monetized Values and Factors'!$M$102</f>
        <v>265666.6740129026</v>
      </c>
      <c r="N23" s="162">
        <f>'VMT Ton-Mile Driver Time'!F68*'Crash Rates'!$B$21</f>
        <v>50193.626859154923</v>
      </c>
      <c r="O23" s="42">
        <f>'VMT Ton-Mile Driver Time'!M68*'Crash Rates'!$B$21</f>
        <v>138185.59392072624</v>
      </c>
      <c r="P23" s="43">
        <f t="shared" si="3"/>
        <v>87991.967061571311</v>
      </c>
      <c r="Q23" s="43">
        <f t="shared" si="4"/>
        <v>20111753.038119022</v>
      </c>
    </row>
    <row r="24" spans="1:17" x14ac:dyDescent="0.25">
      <c r="A24" s="37">
        <v>2035</v>
      </c>
      <c r="B24" s="199">
        <f>'VMT Ton-Mile Driver Time'!F25*'Crash Rates'!$B$10+'VMT Ton-Mile Driver Time'!F69*'Crash Rates'!$B$17</f>
        <v>0.62124816701705554</v>
      </c>
      <c r="C24" s="197">
        <f>'VMT Ton-Mile Driver Time'!M25*'Crash Rates'!$B$10+'VMT Ton-Mile Driver Time'!M69*'Crash Rates'!$B$17</f>
        <v>1.4693169968814375</v>
      </c>
      <c r="D24" s="4">
        <f t="shared" si="0"/>
        <v>0.84806882986438192</v>
      </c>
      <c r="E24" s="42">
        <f>D24*'Monetized Values and Factors'!$M$89</f>
        <v>8141460.7666980661</v>
      </c>
      <c r="F24" s="287">
        <f>'VMT Ton-Mile Driver Time'!F25*'Crash Rates'!$C$10+'VMT Ton-Mile Driver Time'!F69*'Crash Rates'!$C$17</f>
        <v>18.921604052918166</v>
      </c>
      <c r="G24" s="286">
        <f>'VMT Ton-Mile Driver Time'!M25*'Crash Rates'!$C$10+'VMT Ton-Mile Driver Time'!M69*'Crash Rates'!$C$17</f>
        <v>44.667689226558416</v>
      </c>
      <c r="H24" s="286">
        <f t="shared" si="1"/>
        <v>25.74608517364025</v>
      </c>
      <c r="I24" s="42">
        <f>H24*'Monetized Values and Factors'!$P$94</f>
        <v>11616633.630346481</v>
      </c>
      <c r="J24" s="198">
        <f>'VMT Ton-Mile Driver Time'!F25*'Crash Rates'!$D$10</f>
        <v>45.496508517476649</v>
      </c>
      <c r="K24" s="4">
        <f>'VMT Ton-Mile Driver Time'!M25*'Crash Rates'!$D$10</f>
        <v>107.27945596233772</v>
      </c>
      <c r="L24" s="4">
        <f t="shared" si="2"/>
        <v>61.782947444861072</v>
      </c>
      <c r="M24" s="42">
        <f>L24*'Monetized Values and Factors'!$M$102</f>
        <v>265666.6740129026</v>
      </c>
      <c r="N24" s="162">
        <f>'VMT Ton-Mile Driver Time'!F69*'Crash Rates'!$B$21</f>
        <v>50193.626859154923</v>
      </c>
      <c r="O24" s="42">
        <f>'VMT Ton-Mile Driver Time'!M69*'Crash Rates'!$B$21</f>
        <v>138185.59392072624</v>
      </c>
      <c r="P24" s="43">
        <f t="shared" si="3"/>
        <v>87991.967061571311</v>
      </c>
      <c r="Q24" s="43">
        <f t="shared" si="4"/>
        <v>20111753.038119022</v>
      </c>
    </row>
    <row r="25" spans="1:17" x14ac:dyDescent="0.25">
      <c r="A25" s="37">
        <v>2036</v>
      </c>
      <c r="B25" s="199">
        <f>'VMT Ton-Mile Driver Time'!F26*'Crash Rates'!$B$10+'VMT Ton-Mile Driver Time'!F70*'Crash Rates'!$B$17</f>
        <v>0.62124816701705554</v>
      </c>
      <c r="C25" s="197">
        <f>'VMT Ton-Mile Driver Time'!M26*'Crash Rates'!$B$10+'VMT Ton-Mile Driver Time'!M70*'Crash Rates'!$B$17</f>
        <v>1.4693169968814375</v>
      </c>
      <c r="D25" s="4">
        <f t="shared" si="0"/>
        <v>0.84806882986438192</v>
      </c>
      <c r="E25" s="42">
        <f>D25*'Monetized Values and Factors'!$M$89</f>
        <v>8141460.7666980661</v>
      </c>
      <c r="F25" s="287">
        <f>'VMT Ton-Mile Driver Time'!F26*'Crash Rates'!$C$10+'VMT Ton-Mile Driver Time'!F70*'Crash Rates'!$C$17</f>
        <v>18.921604052918166</v>
      </c>
      <c r="G25" s="286">
        <f>'VMT Ton-Mile Driver Time'!M26*'Crash Rates'!$C$10+'VMT Ton-Mile Driver Time'!M70*'Crash Rates'!$C$17</f>
        <v>44.667689226558416</v>
      </c>
      <c r="H25" s="286">
        <f t="shared" si="1"/>
        <v>25.74608517364025</v>
      </c>
      <c r="I25" s="42">
        <f>H25*'Monetized Values and Factors'!$P$94</f>
        <v>11616633.630346481</v>
      </c>
      <c r="J25" s="198">
        <f>'VMT Ton-Mile Driver Time'!F26*'Crash Rates'!$D$10</f>
        <v>45.496508517476649</v>
      </c>
      <c r="K25" s="4">
        <f>'VMT Ton-Mile Driver Time'!M26*'Crash Rates'!$D$10</f>
        <v>107.27945596233772</v>
      </c>
      <c r="L25" s="4">
        <f t="shared" si="2"/>
        <v>61.782947444861072</v>
      </c>
      <c r="M25" s="42">
        <f>L25*'Monetized Values and Factors'!$M$102</f>
        <v>265666.6740129026</v>
      </c>
      <c r="N25" s="162">
        <f>'VMT Ton-Mile Driver Time'!F70*'Crash Rates'!$B$21</f>
        <v>50193.626859154923</v>
      </c>
      <c r="O25" s="42">
        <f>'VMT Ton-Mile Driver Time'!M70*'Crash Rates'!$B$21</f>
        <v>138185.59392072624</v>
      </c>
      <c r="P25" s="43">
        <f t="shared" si="3"/>
        <v>87991.967061571311</v>
      </c>
      <c r="Q25" s="43">
        <f t="shared" si="4"/>
        <v>20111753.038119022</v>
      </c>
    </row>
    <row r="26" spans="1:17" x14ac:dyDescent="0.25">
      <c r="A26" s="37">
        <v>2037</v>
      </c>
      <c r="B26" s="199">
        <f>'VMT Ton-Mile Driver Time'!F27*'Crash Rates'!$B$10+'VMT Ton-Mile Driver Time'!F71*'Crash Rates'!$B$17</f>
        <v>0.62124816701705554</v>
      </c>
      <c r="C26" s="197">
        <f>'VMT Ton-Mile Driver Time'!M27*'Crash Rates'!$B$10+'VMT Ton-Mile Driver Time'!M71*'Crash Rates'!$B$17</f>
        <v>1.4693169968814375</v>
      </c>
      <c r="D26" s="4">
        <f t="shared" si="0"/>
        <v>0.84806882986438192</v>
      </c>
      <c r="E26" s="42">
        <f>D26*'Monetized Values and Factors'!$M$89</f>
        <v>8141460.7666980661</v>
      </c>
      <c r="F26" s="287">
        <f>'VMT Ton-Mile Driver Time'!F27*'Crash Rates'!$C$10+'VMT Ton-Mile Driver Time'!F71*'Crash Rates'!$C$17</f>
        <v>18.921604052918166</v>
      </c>
      <c r="G26" s="286">
        <f>'VMT Ton-Mile Driver Time'!M27*'Crash Rates'!$C$10+'VMT Ton-Mile Driver Time'!M71*'Crash Rates'!$C$17</f>
        <v>44.667689226558416</v>
      </c>
      <c r="H26" s="286">
        <f t="shared" si="1"/>
        <v>25.74608517364025</v>
      </c>
      <c r="I26" s="42">
        <f>H26*'Monetized Values and Factors'!$P$94</f>
        <v>11616633.630346481</v>
      </c>
      <c r="J26" s="198">
        <f>'VMT Ton-Mile Driver Time'!F27*'Crash Rates'!$D$10</f>
        <v>45.496508517476649</v>
      </c>
      <c r="K26" s="4">
        <f>'VMT Ton-Mile Driver Time'!M27*'Crash Rates'!$D$10</f>
        <v>107.27945596233772</v>
      </c>
      <c r="L26" s="4">
        <f t="shared" si="2"/>
        <v>61.782947444861072</v>
      </c>
      <c r="M26" s="42">
        <f>L26*'Monetized Values and Factors'!$M$102</f>
        <v>265666.6740129026</v>
      </c>
      <c r="N26" s="162">
        <f>'VMT Ton-Mile Driver Time'!F71*'Crash Rates'!$B$21</f>
        <v>50193.626859154923</v>
      </c>
      <c r="O26" s="42">
        <f>'VMT Ton-Mile Driver Time'!M71*'Crash Rates'!$B$21</f>
        <v>138185.59392072624</v>
      </c>
      <c r="P26" s="43">
        <f t="shared" si="3"/>
        <v>87991.967061571311</v>
      </c>
      <c r="Q26" s="43">
        <f t="shared" si="4"/>
        <v>20111753.038119022</v>
      </c>
    </row>
    <row r="27" spans="1:17" x14ac:dyDescent="0.25">
      <c r="A27" s="37">
        <v>2038</v>
      </c>
      <c r="B27" s="199">
        <f>'VMT Ton-Mile Driver Time'!F28*'Crash Rates'!$B$10+'VMT Ton-Mile Driver Time'!F72*'Crash Rates'!$B$17</f>
        <v>0.62124816701705554</v>
      </c>
      <c r="C27" s="197">
        <f>'VMT Ton-Mile Driver Time'!M28*'Crash Rates'!$B$10+'VMT Ton-Mile Driver Time'!M72*'Crash Rates'!$B$17</f>
        <v>1.4693169968814375</v>
      </c>
      <c r="D27" s="4">
        <f t="shared" si="0"/>
        <v>0.84806882986438192</v>
      </c>
      <c r="E27" s="42">
        <f>D27*'Monetized Values and Factors'!$M$89</f>
        <v>8141460.7666980661</v>
      </c>
      <c r="F27" s="287">
        <f>'VMT Ton-Mile Driver Time'!F28*'Crash Rates'!$C$10+'VMT Ton-Mile Driver Time'!F72*'Crash Rates'!$C$17</f>
        <v>18.921604052918166</v>
      </c>
      <c r="G27" s="286">
        <f>'VMT Ton-Mile Driver Time'!M28*'Crash Rates'!$C$10+'VMT Ton-Mile Driver Time'!M72*'Crash Rates'!$C$17</f>
        <v>44.667689226558416</v>
      </c>
      <c r="H27" s="286">
        <f t="shared" si="1"/>
        <v>25.74608517364025</v>
      </c>
      <c r="I27" s="42">
        <f>H27*'Monetized Values and Factors'!$P$94</f>
        <v>11616633.630346481</v>
      </c>
      <c r="J27" s="198">
        <f>'VMT Ton-Mile Driver Time'!F28*'Crash Rates'!$D$10</f>
        <v>45.496508517476649</v>
      </c>
      <c r="K27" s="4">
        <f>'VMT Ton-Mile Driver Time'!M28*'Crash Rates'!$D$10</f>
        <v>107.27945596233772</v>
      </c>
      <c r="L27" s="4">
        <f t="shared" si="2"/>
        <v>61.782947444861072</v>
      </c>
      <c r="M27" s="42">
        <f>L27*'Monetized Values and Factors'!$M$102</f>
        <v>265666.6740129026</v>
      </c>
      <c r="N27" s="162">
        <f>'VMT Ton-Mile Driver Time'!F72*'Crash Rates'!$B$21</f>
        <v>50193.626859154923</v>
      </c>
      <c r="O27" s="42">
        <f>'VMT Ton-Mile Driver Time'!M72*'Crash Rates'!$B$21</f>
        <v>138185.59392072624</v>
      </c>
      <c r="P27" s="43">
        <f t="shared" si="3"/>
        <v>87991.967061571311</v>
      </c>
      <c r="Q27" s="43">
        <f t="shared" si="4"/>
        <v>20111753.038119022</v>
      </c>
    </row>
    <row r="28" spans="1:17" x14ac:dyDescent="0.25">
      <c r="A28" s="37">
        <v>2039</v>
      </c>
      <c r="B28" s="199">
        <f>'VMT Ton-Mile Driver Time'!F29*'Crash Rates'!$B$10+'VMT Ton-Mile Driver Time'!F73*'Crash Rates'!$B$17</f>
        <v>0.62124816701705554</v>
      </c>
      <c r="C28" s="197">
        <f>'VMT Ton-Mile Driver Time'!M29*'Crash Rates'!$B$10+'VMT Ton-Mile Driver Time'!M73*'Crash Rates'!$B$17</f>
        <v>1.4693169968814375</v>
      </c>
      <c r="D28" s="4">
        <f t="shared" si="0"/>
        <v>0.84806882986438192</v>
      </c>
      <c r="E28" s="42">
        <f>D28*'Monetized Values and Factors'!$M$89</f>
        <v>8141460.7666980661</v>
      </c>
      <c r="F28" s="287">
        <f>'VMT Ton-Mile Driver Time'!F29*'Crash Rates'!$C$10+'VMT Ton-Mile Driver Time'!F73*'Crash Rates'!$C$17</f>
        <v>18.921604052918166</v>
      </c>
      <c r="G28" s="286">
        <f>'VMT Ton-Mile Driver Time'!M29*'Crash Rates'!$C$10+'VMT Ton-Mile Driver Time'!M73*'Crash Rates'!$C$17</f>
        <v>44.667689226558416</v>
      </c>
      <c r="H28" s="286">
        <f t="shared" si="1"/>
        <v>25.74608517364025</v>
      </c>
      <c r="I28" s="42">
        <f>H28*'Monetized Values and Factors'!$P$94</f>
        <v>11616633.630346481</v>
      </c>
      <c r="J28" s="198">
        <f>'VMT Ton-Mile Driver Time'!F29*'Crash Rates'!$D$10</f>
        <v>45.496508517476649</v>
      </c>
      <c r="K28" s="4">
        <f>'VMT Ton-Mile Driver Time'!M29*'Crash Rates'!$D$10</f>
        <v>107.27945596233772</v>
      </c>
      <c r="L28" s="4">
        <f t="shared" si="2"/>
        <v>61.782947444861072</v>
      </c>
      <c r="M28" s="42">
        <f>L28*'Monetized Values and Factors'!$M$102</f>
        <v>265666.6740129026</v>
      </c>
      <c r="N28" s="162">
        <f>'VMT Ton-Mile Driver Time'!F73*'Crash Rates'!$B$21</f>
        <v>50193.626859154923</v>
      </c>
      <c r="O28" s="42">
        <f>'VMT Ton-Mile Driver Time'!M73*'Crash Rates'!$B$21</f>
        <v>138185.59392072624</v>
      </c>
      <c r="P28" s="43">
        <f t="shared" si="3"/>
        <v>87991.967061571311</v>
      </c>
      <c r="Q28" s="43">
        <f>E28+I28+M28+P28</f>
        <v>20111753.038119022</v>
      </c>
    </row>
    <row r="29" spans="1:17" x14ac:dyDescent="0.25">
      <c r="A29" s="37">
        <v>2040</v>
      </c>
      <c r="B29" s="199">
        <f>'VMT Ton-Mile Driver Time'!F30*'Crash Rates'!$B$10+'VMT Ton-Mile Driver Time'!F74*'Crash Rates'!$B$17</f>
        <v>0.62124816701705554</v>
      </c>
      <c r="C29" s="197">
        <f>'VMT Ton-Mile Driver Time'!M30*'Crash Rates'!$B$10+'VMT Ton-Mile Driver Time'!M74*'Crash Rates'!$B$17</f>
        <v>1.4693169968814375</v>
      </c>
      <c r="D29" s="4">
        <f t="shared" si="0"/>
        <v>0.84806882986438192</v>
      </c>
      <c r="E29" s="42">
        <f>D29*'Monetized Values and Factors'!$M$89</f>
        <v>8141460.7666980661</v>
      </c>
      <c r="F29" s="287">
        <f>'VMT Ton-Mile Driver Time'!F30*'Crash Rates'!$C$10+'VMT Ton-Mile Driver Time'!F74*'Crash Rates'!$C$17</f>
        <v>18.921604052918166</v>
      </c>
      <c r="G29" s="286">
        <f>'VMT Ton-Mile Driver Time'!M30*'Crash Rates'!$C$10+'VMT Ton-Mile Driver Time'!M74*'Crash Rates'!$C$17</f>
        <v>44.667689226558416</v>
      </c>
      <c r="H29" s="286">
        <f t="shared" si="1"/>
        <v>25.74608517364025</v>
      </c>
      <c r="I29" s="42">
        <f>H29*'Monetized Values and Factors'!$P$94</f>
        <v>11616633.630346481</v>
      </c>
      <c r="J29" s="198">
        <f>'VMT Ton-Mile Driver Time'!F30*'Crash Rates'!$D$10</f>
        <v>45.496508517476649</v>
      </c>
      <c r="K29" s="4">
        <f>'VMT Ton-Mile Driver Time'!M30*'Crash Rates'!$D$10</f>
        <v>107.27945596233772</v>
      </c>
      <c r="L29" s="4">
        <f t="shared" si="2"/>
        <v>61.782947444861072</v>
      </c>
      <c r="M29" s="42">
        <f>L29*'Monetized Values and Factors'!$M$102</f>
        <v>265666.6740129026</v>
      </c>
      <c r="N29" s="162">
        <f>'VMT Ton-Mile Driver Time'!F74*'Crash Rates'!$B$21</f>
        <v>50193.626859154923</v>
      </c>
      <c r="O29" s="42">
        <f>'VMT Ton-Mile Driver Time'!M74*'Crash Rates'!$B$21</f>
        <v>138185.59392072624</v>
      </c>
      <c r="P29" s="43">
        <f t="shared" si="3"/>
        <v>87991.967061571311</v>
      </c>
      <c r="Q29" s="43">
        <f t="shared" si="4"/>
        <v>20111753.038119022</v>
      </c>
    </row>
    <row r="30" spans="1:17" x14ac:dyDescent="0.25">
      <c r="A30" s="37">
        <v>2041</v>
      </c>
      <c r="B30" s="199">
        <f>'VMT Ton-Mile Driver Time'!F31*'Crash Rates'!$B$10+'VMT Ton-Mile Driver Time'!F75*'Crash Rates'!$B$17</f>
        <v>0.62124816701705554</v>
      </c>
      <c r="C30" s="197">
        <f>'VMT Ton-Mile Driver Time'!M31*'Crash Rates'!$B$10+'VMT Ton-Mile Driver Time'!M75*'Crash Rates'!$B$17</f>
        <v>1.4693169968814375</v>
      </c>
      <c r="D30" s="4">
        <f t="shared" si="0"/>
        <v>0.84806882986438192</v>
      </c>
      <c r="E30" s="42">
        <f>D30*'Monetized Values and Factors'!$M$89</f>
        <v>8141460.7666980661</v>
      </c>
      <c r="F30" s="287">
        <f>'VMT Ton-Mile Driver Time'!F31*'Crash Rates'!$C$10+'VMT Ton-Mile Driver Time'!F75*'Crash Rates'!$C$17</f>
        <v>18.921604052918166</v>
      </c>
      <c r="G30" s="286">
        <f>'VMT Ton-Mile Driver Time'!M31*'Crash Rates'!$C$10+'VMT Ton-Mile Driver Time'!M75*'Crash Rates'!$C$17</f>
        <v>44.667689226558416</v>
      </c>
      <c r="H30" s="286">
        <f t="shared" si="1"/>
        <v>25.74608517364025</v>
      </c>
      <c r="I30" s="42">
        <f>H30*'Monetized Values and Factors'!$P$94</f>
        <v>11616633.630346481</v>
      </c>
      <c r="J30" s="198">
        <f>'VMT Ton-Mile Driver Time'!F31*'Crash Rates'!$D$10</f>
        <v>45.496508517476649</v>
      </c>
      <c r="K30" s="4">
        <f>'VMT Ton-Mile Driver Time'!M31*'Crash Rates'!$D$10</f>
        <v>107.27945596233772</v>
      </c>
      <c r="L30" s="4">
        <f t="shared" si="2"/>
        <v>61.782947444861072</v>
      </c>
      <c r="M30" s="42">
        <f>L30*'Monetized Values and Factors'!$M$102</f>
        <v>265666.6740129026</v>
      </c>
      <c r="N30" s="162">
        <f>'VMT Ton-Mile Driver Time'!F75*'Crash Rates'!$B$21</f>
        <v>50193.626859154923</v>
      </c>
      <c r="O30" s="42">
        <f>'VMT Ton-Mile Driver Time'!M75*'Crash Rates'!$B$21</f>
        <v>138185.59392072624</v>
      </c>
      <c r="P30" s="43">
        <f t="shared" si="3"/>
        <v>87991.967061571311</v>
      </c>
      <c r="Q30" s="43">
        <f t="shared" si="4"/>
        <v>20111753.038119022</v>
      </c>
    </row>
    <row r="31" spans="1:17" x14ac:dyDescent="0.25">
      <c r="A31" s="37">
        <v>2042</v>
      </c>
      <c r="B31" s="199">
        <f>'VMT Ton-Mile Driver Time'!F32*'Crash Rates'!$B$10+'VMT Ton-Mile Driver Time'!F76*'Crash Rates'!$B$17</f>
        <v>0.62124816701705554</v>
      </c>
      <c r="C31" s="197">
        <f>'VMT Ton-Mile Driver Time'!M32*'Crash Rates'!$B$10+'VMT Ton-Mile Driver Time'!M76*'Crash Rates'!$B$17</f>
        <v>1.4693169968814375</v>
      </c>
      <c r="D31" s="4">
        <f t="shared" si="0"/>
        <v>0.84806882986438192</v>
      </c>
      <c r="E31" s="42">
        <f>D31*'Monetized Values and Factors'!$M$89</f>
        <v>8141460.7666980661</v>
      </c>
      <c r="F31" s="287">
        <f>'VMT Ton-Mile Driver Time'!F32*'Crash Rates'!$C$10+'VMT Ton-Mile Driver Time'!F76*'Crash Rates'!$C$17</f>
        <v>18.921604052918166</v>
      </c>
      <c r="G31" s="286">
        <f>'VMT Ton-Mile Driver Time'!M32*'Crash Rates'!$C$10+'VMT Ton-Mile Driver Time'!M76*'Crash Rates'!$C$17</f>
        <v>44.667689226558416</v>
      </c>
      <c r="H31" s="286">
        <f t="shared" si="1"/>
        <v>25.74608517364025</v>
      </c>
      <c r="I31" s="42">
        <f>H31*'Monetized Values and Factors'!$P$94</f>
        <v>11616633.630346481</v>
      </c>
      <c r="J31" s="198">
        <f>'VMT Ton-Mile Driver Time'!F32*'Crash Rates'!$D$10</f>
        <v>45.496508517476649</v>
      </c>
      <c r="K31" s="4">
        <f>'VMT Ton-Mile Driver Time'!M32*'Crash Rates'!$D$10</f>
        <v>107.27945596233772</v>
      </c>
      <c r="L31" s="4">
        <f t="shared" si="2"/>
        <v>61.782947444861072</v>
      </c>
      <c r="M31" s="42">
        <f>L31*'Monetized Values and Factors'!$M$102</f>
        <v>265666.6740129026</v>
      </c>
      <c r="N31" s="162">
        <f>'VMT Ton-Mile Driver Time'!F76*'Crash Rates'!$B$21</f>
        <v>50193.626859154923</v>
      </c>
      <c r="O31" s="42">
        <f>'VMT Ton-Mile Driver Time'!M76*'Crash Rates'!$B$21</f>
        <v>138185.59392072624</v>
      </c>
      <c r="P31" s="43">
        <f t="shared" si="3"/>
        <v>87991.967061571311</v>
      </c>
      <c r="Q31" s="43">
        <f t="shared" si="4"/>
        <v>20111753.038119022</v>
      </c>
    </row>
    <row r="32" spans="1:17" x14ac:dyDescent="0.25">
      <c r="A32" s="37">
        <v>2043</v>
      </c>
      <c r="B32" s="199">
        <f>'VMT Ton-Mile Driver Time'!F33*'Crash Rates'!$B$10+'VMT Ton-Mile Driver Time'!F77*'Crash Rates'!$B$17</f>
        <v>0.62124816701705554</v>
      </c>
      <c r="C32" s="197">
        <f>'VMT Ton-Mile Driver Time'!M33*'Crash Rates'!$B$10+'VMT Ton-Mile Driver Time'!M77*'Crash Rates'!$B$17</f>
        <v>1.4693169968814375</v>
      </c>
      <c r="D32" s="4">
        <f t="shared" si="0"/>
        <v>0.84806882986438192</v>
      </c>
      <c r="E32" s="42">
        <f>D32*'Monetized Values and Factors'!$M$89</f>
        <v>8141460.7666980661</v>
      </c>
      <c r="F32" s="287">
        <f>'VMT Ton-Mile Driver Time'!F33*'Crash Rates'!$C$10+'VMT Ton-Mile Driver Time'!F77*'Crash Rates'!$C$17</f>
        <v>18.921604052918166</v>
      </c>
      <c r="G32" s="286">
        <f>'VMT Ton-Mile Driver Time'!M33*'Crash Rates'!$C$10+'VMT Ton-Mile Driver Time'!M77*'Crash Rates'!$C$17</f>
        <v>44.667689226558416</v>
      </c>
      <c r="H32" s="286">
        <f t="shared" si="1"/>
        <v>25.74608517364025</v>
      </c>
      <c r="I32" s="42">
        <f>H32*'Monetized Values and Factors'!$P$94</f>
        <v>11616633.630346481</v>
      </c>
      <c r="J32" s="198">
        <f>'VMT Ton-Mile Driver Time'!F33*'Crash Rates'!$D$10</f>
        <v>45.496508517476649</v>
      </c>
      <c r="K32" s="4">
        <f>'VMT Ton-Mile Driver Time'!M33*'Crash Rates'!$D$10</f>
        <v>107.27945596233772</v>
      </c>
      <c r="L32" s="4">
        <f t="shared" si="2"/>
        <v>61.782947444861072</v>
      </c>
      <c r="M32" s="42">
        <f>L32*'Monetized Values and Factors'!$M$102</f>
        <v>265666.6740129026</v>
      </c>
      <c r="N32" s="162">
        <f>'VMT Ton-Mile Driver Time'!F77*'Crash Rates'!$B$21</f>
        <v>50193.626859154923</v>
      </c>
      <c r="O32" s="42">
        <f>'VMT Ton-Mile Driver Time'!M77*'Crash Rates'!$B$21</f>
        <v>138185.59392072624</v>
      </c>
      <c r="P32" s="43">
        <f t="shared" si="3"/>
        <v>87991.967061571311</v>
      </c>
      <c r="Q32" s="43">
        <f t="shared" si="4"/>
        <v>20111753.038119022</v>
      </c>
    </row>
    <row r="33" spans="1:17" x14ac:dyDescent="0.25">
      <c r="A33" s="37">
        <v>2044</v>
      </c>
      <c r="B33" s="199">
        <f>'VMT Ton-Mile Driver Time'!F34*'Crash Rates'!$B$10+'VMT Ton-Mile Driver Time'!F78*'Crash Rates'!$B$17</f>
        <v>0.62124816701705554</v>
      </c>
      <c r="C33" s="197">
        <f>'VMT Ton-Mile Driver Time'!M34*'Crash Rates'!$B$10+'VMT Ton-Mile Driver Time'!M78*'Crash Rates'!$B$17</f>
        <v>1.4693169968814375</v>
      </c>
      <c r="D33" s="4">
        <f t="shared" si="0"/>
        <v>0.84806882986438192</v>
      </c>
      <c r="E33" s="42">
        <f>D33*'Monetized Values and Factors'!$M$89</f>
        <v>8141460.7666980661</v>
      </c>
      <c r="F33" s="287">
        <f>'VMT Ton-Mile Driver Time'!F34*'Crash Rates'!$C$10+'VMT Ton-Mile Driver Time'!F78*'Crash Rates'!$C$17</f>
        <v>18.921604052918166</v>
      </c>
      <c r="G33" s="286">
        <f>'VMT Ton-Mile Driver Time'!M34*'Crash Rates'!$C$10+'VMT Ton-Mile Driver Time'!M78*'Crash Rates'!$C$17</f>
        <v>44.667689226558416</v>
      </c>
      <c r="H33" s="286">
        <f t="shared" si="1"/>
        <v>25.74608517364025</v>
      </c>
      <c r="I33" s="42">
        <f>H33*'Monetized Values and Factors'!$P$94</f>
        <v>11616633.630346481</v>
      </c>
      <c r="J33" s="198">
        <f>'VMT Ton-Mile Driver Time'!F34*'Crash Rates'!$D$10</f>
        <v>45.496508517476649</v>
      </c>
      <c r="K33" s="4">
        <f>'VMT Ton-Mile Driver Time'!M34*'Crash Rates'!$D$10</f>
        <v>107.27945596233772</v>
      </c>
      <c r="L33" s="4">
        <f t="shared" si="2"/>
        <v>61.782947444861072</v>
      </c>
      <c r="M33" s="42">
        <f>L33*'Monetized Values and Factors'!$M$102</f>
        <v>265666.6740129026</v>
      </c>
      <c r="N33" s="162">
        <f>'VMT Ton-Mile Driver Time'!F78*'Crash Rates'!$B$21</f>
        <v>50193.626859154923</v>
      </c>
      <c r="O33" s="42">
        <f>'VMT Ton-Mile Driver Time'!M78*'Crash Rates'!$B$21</f>
        <v>138185.59392072624</v>
      </c>
      <c r="P33" s="43">
        <f t="shared" si="3"/>
        <v>87991.967061571311</v>
      </c>
      <c r="Q33" s="43">
        <f t="shared" si="4"/>
        <v>20111753.038119022</v>
      </c>
    </row>
    <row r="34" spans="1:17" x14ac:dyDescent="0.25">
      <c r="A34" s="37">
        <v>2045</v>
      </c>
      <c r="B34" s="199">
        <f>'VMT Ton-Mile Driver Time'!F35*'Crash Rates'!$B$10+'VMT Ton-Mile Driver Time'!F79*'Crash Rates'!$B$17</f>
        <v>0.62124816701705554</v>
      </c>
      <c r="C34" s="197">
        <f>'VMT Ton-Mile Driver Time'!M35*'Crash Rates'!$B$10+'VMT Ton-Mile Driver Time'!M79*'Crash Rates'!$B$17</f>
        <v>1.4693169968814375</v>
      </c>
      <c r="D34" s="4">
        <f t="shared" si="0"/>
        <v>0.84806882986438192</v>
      </c>
      <c r="E34" s="42">
        <f>D34*'Monetized Values and Factors'!$M$89</f>
        <v>8141460.7666980661</v>
      </c>
      <c r="F34" s="287">
        <f>'VMT Ton-Mile Driver Time'!F35*'Crash Rates'!$C$10+'VMT Ton-Mile Driver Time'!F79*'Crash Rates'!$C$17</f>
        <v>18.921604052918166</v>
      </c>
      <c r="G34" s="286">
        <f>'VMT Ton-Mile Driver Time'!M35*'Crash Rates'!$C$10+'VMT Ton-Mile Driver Time'!M79*'Crash Rates'!$C$17</f>
        <v>44.667689226558416</v>
      </c>
      <c r="H34" s="286">
        <f t="shared" si="1"/>
        <v>25.74608517364025</v>
      </c>
      <c r="I34" s="42">
        <f>H34*'Monetized Values and Factors'!$P$94</f>
        <v>11616633.630346481</v>
      </c>
      <c r="J34" s="198">
        <f>'VMT Ton-Mile Driver Time'!F35*'Crash Rates'!$D$10</f>
        <v>45.496508517476649</v>
      </c>
      <c r="K34" s="4">
        <f>'VMT Ton-Mile Driver Time'!M35*'Crash Rates'!$D$10</f>
        <v>107.27945596233772</v>
      </c>
      <c r="L34" s="4">
        <f t="shared" si="2"/>
        <v>61.782947444861072</v>
      </c>
      <c r="M34" s="42">
        <f>L34*'Monetized Values and Factors'!$M$102</f>
        <v>265666.6740129026</v>
      </c>
      <c r="N34" s="162">
        <f>'VMT Ton-Mile Driver Time'!F79*'Crash Rates'!$B$21</f>
        <v>50193.626859154923</v>
      </c>
      <c r="O34" s="42">
        <f>'VMT Ton-Mile Driver Time'!M79*'Crash Rates'!$B$21</f>
        <v>138185.59392072624</v>
      </c>
      <c r="P34" s="43">
        <f t="shared" si="3"/>
        <v>87991.967061571311</v>
      </c>
      <c r="Q34" s="43">
        <f t="shared" si="4"/>
        <v>20111753.038119022</v>
      </c>
    </row>
    <row r="35" spans="1:17" x14ac:dyDescent="0.25">
      <c r="A35" s="37">
        <v>2046</v>
      </c>
      <c r="B35" s="199">
        <f>'VMT Ton-Mile Driver Time'!F36*'Crash Rates'!$B$10+'VMT Ton-Mile Driver Time'!F80*'Crash Rates'!$B$17</f>
        <v>0.62124816701705554</v>
      </c>
      <c r="C35" s="197">
        <f>'VMT Ton-Mile Driver Time'!M36*'Crash Rates'!$B$10+'VMT Ton-Mile Driver Time'!M80*'Crash Rates'!$B$17</f>
        <v>1.4693169968814375</v>
      </c>
      <c r="D35" s="4">
        <f t="shared" si="0"/>
        <v>0.84806882986438192</v>
      </c>
      <c r="E35" s="42">
        <f>D35*'Monetized Values and Factors'!$M$89</f>
        <v>8141460.7666980661</v>
      </c>
      <c r="F35" s="287">
        <f>'VMT Ton-Mile Driver Time'!F36*'Crash Rates'!$C$10+'VMT Ton-Mile Driver Time'!F80*'Crash Rates'!$C$17</f>
        <v>18.921604052918166</v>
      </c>
      <c r="G35" s="286">
        <f>'VMT Ton-Mile Driver Time'!M36*'Crash Rates'!$C$10+'VMT Ton-Mile Driver Time'!M80*'Crash Rates'!$C$17</f>
        <v>44.667689226558416</v>
      </c>
      <c r="H35" s="286">
        <f t="shared" si="1"/>
        <v>25.74608517364025</v>
      </c>
      <c r="I35" s="42">
        <f>H35*'Monetized Values and Factors'!$P$94</f>
        <v>11616633.630346481</v>
      </c>
      <c r="J35" s="198">
        <f>'VMT Ton-Mile Driver Time'!F36*'Crash Rates'!$D$10</f>
        <v>45.496508517476649</v>
      </c>
      <c r="K35" s="4">
        <f>'VMT Ton-Mile Driver Time'!M36*'Crash Rates'!$D$10</f>
        <v>107.27945596233772</v>
      </c>
      <c r="L35" s="4">
        <f t="shared" si="2"/>
        <v>61.782947444861072</v>
      </c>
      <c r="M35" s="42">
        <f>L35*'Monetized Values and Factors'!$M$102</f>
        <v>265666.6740129026</v>
      </c>
      <c r="N35" s="162">
        <f>'VMT Ton-Mile Driver Time'!F80*'Crash Rates'!$B$21</f>
        <v>50193.626859154923</v>
      </c>
      <c r="O35" s="42">
        <f>'VMT Ton-Mile Driver Time'!M80*'Crash Rates'!$B$21</f>
        <v>138185.59392072624</v>
      </c>
      <c r="P35" s="43">
        <f t="shared" si="3"/>
        <v>87991.967061571311</v>
      </c>
      <c r="Q35" s="43">
        <f t="shared" si="4"/>
        <v>20111753.038119022</v>
      </c>
    </row>
    <row r="36" spans="1:17" x14ac:dyDescent="0.25">
      <c r="A36" s="37">
        <v>2047</v>
      </c>
      <c r="B36" s="199">
        <f>'VMT Ton-Mile Driver Time'!F37*'Crash Rates'!$B$10+'VMT Ton-Mile Driver Time'!F81*'Crash Rates'!$B$17</f>
        <v>0.62124816701705554</v>
      </c>
      <c r="C36" s="197">
        <f>'VMT Ton-Mile Driver Time'!M37*'Crash Rates'!$B$10+'VMT Ton-Mile Driver Time'!M81*'Crash Rates'!$B$17</f>
        <v>1.4693169968814375</v>
      </c>
      <c r="D36" s="4">
        <f t="shared" si="0"/>
        <v>0.84806882986438192</v>
      </c>
      <c r="E36" s="42">
        <f>D36*'Monetized Values and Factors'!$M$89</f>
        <v>8141460.7666980661</v>
      </c>
      <c r="F36" s="287">
        <f>'VMT Ton-Mile Driver Time'!F37*'Crash Rates'!$C$10+'VMT Ton-Mile Driver Time'!F81*'Crash Rates'!$C$17</f>
        <v>18.921604052918166</v>
      </c>
      <c r="G36" s="286">
        <f>'VMT Ton-Mile Driver Time'!M37*'Crash Rates'!$C$10+'VMT Ton-Mile Driver Time'!M81*'Crash Rates'!$C$17</f>
        <v>44.667689226558416</v>
      </c>
      <c r="H36" s="286">
        <f t="shared" si="1"/>
        <v>25.74608517364025</v>
      </c>
      <c r="I36" s="42">
        <f>H36*'Monetized Values and Factors'!$P$94</f>
        <v>11616633.630346481</v>
      </c>
      <c r="J36" s="198">
        <f>'VMT Ton-Mile Driver Time'!F37*'Crash Rates'!$D$10</f>
        <v>45.496508517476649</v>
      </c>
      <c r="K36" s="4">
        <f>'VMT Ton-Mile Driver Time'!M37*'Crash Rates'!$D$10</f>
        <v>107.27945596233772</v>
      </c>
      <c r="L36" s="4">
        <f t="shared" si="2"/>
        <v>61.782947444861072</v>
      </c>
      <c r="M36" s="42">
        <f>L36*'Monetized Values and Factors'!$M$102</f>
        <v>265666.6740129026</v>
      </c>
      <c r="N36" s="162">
        <f>'VMT Ton-Mile Driver Time'!F81*'Crash Rates'!$B$21</f>
        <v>50193.626859154923</v>
      </c>
      <c r="O36" s="42">
        <f>'VMT Ton-Mile Driver Time'!M81*'Crash Rates'!$B$21</f>
        <v>138185.59392072624</v>
      </c>
      <c r="P36" s="43">
        <f t="shared" si="3"/>
        <v>87991.967061571311</v>
      </c>
      <c r="Q36" s="43">
        <f t="shared" si="4"/>
        <v>20111753.038119022</v>
      </c>
    </row>
    <row r="37" spans="1:17" x14ac:dyDescent="0.25">
      <c r="A37" s="37">
        <v>2048</v>
      </c>
      <c r="B37" s="199">
        <f>'VMT Ton-Mile Driver Time'!F38*'Crash Rates'!$B$10+'VMT Ton-Mile Driver Time'!F82*'Crash Rates'!$B$17</f>
        <v>0.62124816701705554</v>
      </c>
      <c r="C37" s="197">
        <f>'VMT Ton-Mile Driver Time'!M38*'Crash Rates'!$B$10+'VMT Ton-Mile Driver Time'!M82*'Crash Rates'!$B$17</f>
        <v>1.4693169968814375</v>
      </c>
      <c r="D37" s="4">
        <f t="shared" si="0"/>
        <v>0.84806882986438192</v>
      </c>
      <c r="E37" s="42">
        <f>D37*'Monetized Values and Factors'!$M$89</f>
        <v>8141460.7666980661</v>
      </c>
      <c r="F37" s="287">
        <f>'VMT Ton-Mile Driver Time'!F38*'Crash Rates'!$C$10+'VMT Ton-Mile Driver Time'!F82*'Crash Rates'!$C$17</f>
        <v>18.921604052918166</v>
      </c>
      <c r="G37" s="286">
        <f>'VMT Ton-Mile Driver Time'!M38*'Crash Rates'!$C$10+'VMT Ton-Mile Driver Time'!M82*'Crash Rates'!$C$17</f>
        <v>44.667689226558416</v>
      </c>
      <c r="H37" s="286">
        <f t="shared" si="1"/>
        <v>25.74608517364025</v>
      </c>
      <c r="I37" s="42">
        <f>H37*'Monetized Values and Factors'!$P$94</f>
        <v>11616633.630346481</v>
      </c>
      <c r="J37" s="198">
        <f>'VMT Ton-Mile Driver Time'!F38*'Crash Rates'!$D$10</f>
        <v>45.496508517476649</v>
      </c>
      <c r="K37" s="4">
        <f>'VMT Ton-Mile Driver Time'!M38*'Crash Rates'!$D$10</f>
        <v>107.27945596233772</v>
      </c>
      <c r="L37" s="4">
        <f t="shared" si="2"/>
        <v>61.782947444861072</v>
      </c>
      <c r="M37" s="42">
        <f>L37*'Monetized Values and Factors'!$M$102</f>
        <v>265666.6740129026</v>
      </c>
      <c r="N37" s="162">
        <f>'VMT Ton-Mile Driver Time'!F82*'Crash Rates'!$B$21</f>
        <v>50193.626859154923</v>
      </c>
      <c r="O37" s="42">
        <f>'VMT Ton-Mile Driver Time'!M82*'Crash Rates'!$B$21</f>
        <v>138185.59392072624</v>
      </c>
      <c r="P37" s="43">
        <f t="shared" si="3"/>
        <v>87991.967061571311</v>
      </c>
      <c r="Q37" s="43">
        <f t="shared" si="4"/>
        <v>20111753.038119022</v>
      </c>
    </row>
    <row r="38" spans="1:17" x14ac:dyDescent="0.25">
      <c r="A38" s="37">
        <v>2049</v>
      </c>
      <c r="B38" s="199">
        <f>'VMT Ton-Mile Driver Time'!F39*'Crash Rates'!$B$10+'VMT Ton-Mile Driver Time'!F83*'Crash Rates'!$B$17</f>
        <v>0.62124816701705554</v>
      </c>
      <c r="C38" s="197">
        <f>'VMT Ton-Mile Driver Time'!M39*'Crash Rates'!$B$10+'VMT Ton-Mile Driver Time'!M83*'Crash Rates'!$B$17</f>
        <v>1.4693169968814375</v>
      </c>
      <c r="D38" s="4">
        <f t="shared" si="0"/>
        <v>0.84806882986438192</v>
      </c>
      <c r="E38" s="42">
        <f>D38*'Monetized Values and Factors'!$M$89</f>
        <v>8141460.7666980661</v>
      </c>
      <c r="F38" s="287">
        <f>'VMT Ton-Mile Driver Time'!F39*'Crash Rates'!$C$10+'VMT Ton-Mile Driver Time'!F83*'Crash Rates'!$C$17</f>
        <v>18.921604052918166</v>
      </c>
      <c r="G38" s="286">
        <f>'VMT Ton-Mile Driver Time'!M39*'Crash Rates'!$C$10+'VMT Ton-Mile Driver Time'!M83*'Crash Rates'!$C$17</f>
        <v>44.667689226558416</v>
      </c>
      <c r="H38" s="286">
        <f t="shared" si="1"/>
        <v>25.74608517364025</v>
      </c>
      <c r="I38" s="42">
        <f>H38*'Monetized Values and Factors'!$P$94</f>
        <v>11616633.630346481</v>
      </c>
      <c r="J38" s="198">
        <f>'VMT Ton-Mile Driver Time'!F39*'Crash Rates'!$D$10</f>
        <v>45.496508517476649</v>
      </c>
      <c r="K38" s="4">
        <f>'VMT Ton-Mile Driver Time'!M39*'Crash Rates'!$D$10</f>
        <v>107.27945596233772</v>
      </c>
      <c r="L38" s="4">
        <f t="shared" si="2"/>
        <v>61.782947444861072</v>
      </c>
      <c r="M38" s="42">
        <f>L38*'Monetized Values and Factors'!$M$102</f>
        <v>265666.6740129026</v>
      </c>
      <c r="N38" s="162">
        <f>'VMT Ton-Mile Driver Time'!F83*'Crash Rates'!$B$21</f>
        <v>50193.626859154923</v>
      </c>
      <c r="O38" s="42">
        <f>'VMT Ton-Mile Driver Time'!M83*'Crash Rates'!$B$21</f>
        <v>138185.59392072624</v>
      </c>
      <c r="P38" s="43">
        <f t="shared" si="3"/>
        <v>87991.967061571311</v>
      </c>
      <c r="Q38" s="43">
        <f t="shared" si="4"/>
        <v>20111753.038119022</v>
      </c>
    </row>
    <row r="39" spans="1:17" x14ac:dyDescent="0.25">
      <c r="A39" s="37">
        <v>2050</v>
      </c>
      <c r="B39" s="199">
        <f>'VMT Ton-Mile Driver Time'!F40*'Crash Rates'!$B$10+'VMT Ton-Mile Driver Time'!F84*'Crash Rates'!$B$17</f>
        <v>0.62124816701705554</v>
      </c>
      <c r="C39" s="197">
        <f>'VMT Ton-Mile Driver Time'!M40*'Crash Rates'!$B$10+'VMT Ton-Mile Driver Time'!M84*'Crash Rates'!$B$17</f>
        <v>1.4693169968814375</v>
      </c>
      <c r="D39" s="4">
        <f t="shared" si="0"/>
        <v>0.84806882986438192</v>
      </c>
      <c r="E39" s="42">
        <f>D39*'Monetized Values and Factors'!$M$89</f>
        <v>8141460.7666980661</v>
      </c>
      <c r="F39" s="287">
        <f>'VMT Ton-Mile Driver Time'!F40*'Crash Rates'!$C$10+'VMT Ton-Mile Driver Time'!F84*'Crash Rates'!$C$17</f>
        <v>18.921604052918166</v>
      </c>
      <c r="G39" s="286">
        <f>'VMT Ton-Mile Driver Time'!M40*'Crash Rates'!$C$10+'VMT Ton-Mile Driver Time'!M84*'Crash Rates'!$C$17</f>
        <v>44.667689226558416</v>
      </c>
      <c r="H39" s="286">
        <f t="shared" si="1"/>
        <v>25.74608517364025</v>
      </c>
      <c r="I39" s="42">
        <f>H39*'Monetized Values and Factors'!$P$94</f>
        <v>11616633.630346481</v>
      </c>
      <c r="J39" s="198">
        <f>'VMT Ton-Mile Driver Time'!F40*'Crash Rates'!$D$10</f>
        <v>45.496508517476649</v>
      </c>
      <c r="K39" s="4">
        <f>'VMT Ton-Mile Driver Time'!M40*'Crash Rates'!$D$10</f>
        <v>107.27945596233772</v>
      </c>
      <c r="L39" s="4">
        <f t="shared" si="2"/>
        <v>61.782947444861072</v>
      </c>
      <c r="M39" s="42">
        <f>L39*'Monetized Values and Factors'!$M$102</f>
        <v>265666.6740129026</v>
      </c>
      <c r="N39" s="162">
        <f>'VMT Ton-Mile Driver Time'!F84*'Crash Rates'!$B$21</f>
        <v>50193.626859154923</v>
      </c>
      <c r="O39" s="42">
        <f>'VMT Ton-Mile Driver Time'!M84*'Crash Rates'!$B$21</f>
        <v>138185.59392072624</v>
      </c>
      <c r="P39" s="43">
        <f t="shared" si="3"/>
        <v>87991.967061571311</v>
      </c>
      <c r="Q39" s="43">
        <f t="shared" si="4"/>
        <v>20111753.038119022</v>
      </c>
    </row>
    <row r="40" spans="1:17" x14ac:dyDescent="0.25">
      <c r="A40" s="37">
        <v>2051</v>
      </c>
      <c r="B40" s="199">
        <f>'VMT Ton-Mile Driver Time'!F41*'Crash Rates'!$B$10+'VMT Ton-Mile Driver Time'!F85*'Crash Rates'!$B$17</f>
        <v>0.62124816701705554</v>
      </c>
      <c r="C40" s="197">
        <f>'VMT Ton-Mile Driver Time'!M41*'Crash Rates'!$B$10+'VMT Ton-Mile Driver Time'!M85*'Crash Rates'!$B$17</f>
        <v>1.4693169968814375</v>
      </c>
      <c r="D40" s="197">
        <f t="shared" si="0"/>
        <v>0.84806882986438192</v>
      </c>
      <c r="E40" s="42">
        <f>D40*'Monetized Values and Factors'!$M$89</f>
        <v>8141460.7666980661</v>
      </c>
      <c r="F40" s="287">
        <f>'VMT Ton-Mile Driver Time'!F41*'Crash Rates'!$C$10+'VMT Ton-Mile Driver Time'!F85*'Crash Rates'!$C$17</f>
        <v>18.921604052918166</v>
      </c>
      <c r="G40" s="286">
        <f>'VMT Ton-Mile Driver Time'!M41*'Crash Rates'!$C$10+'VMT Ton-Mile Driver Time'!M85*'Crash Rates'!$C$17</f>
        <v>44.667689226558416</v>
      </c>
      <c r="H40" s="286">
        <f t="shared" si="1"/>
        <v>25.74608517364025</v>
      </c>
      <c r="I40" s="42">
        <f>H40*'Monetized Values and Factors'!$P$94</f>
        <v>11616633.630346481</v>
      </c>
      <c r="J40" s="198">
        <f>'VMT Ton-Mile Driver Time'!F41*'Crash Rates'!$D$10</f>
        <v>45.496508517476649</v>
      </c>
      <c r="K40" s="4">
        <f>'VMT Ton-Mile Driver Time'!M41*'Crash Rates'!$D$10</f>
        <v>107.27945596233772</v>
      </c>
      <c r="L40" s="4">
        <f t="shared" si="2"/>
        <v>61.782947444861072</v>
      </c>
      <c r="M40" s="42">
        <f>L40*'Monetized Values and Factors'!$M$102</f>
        <v>265666.6740129026</v>
      </c>
      <c r="N40" s="162">
        <f>'VMT Ton-Mile Driver Time'!F85*'Crash Rates'!$B$21</f>
        <v>50193.626859154923</v>
      </c>
      <c r="O40" s="42">
        <f>'VMT Ton-Mile Driver Time'!M85*'Crash Rates'!$B$21</f>
        <v>138185.59392072624</v>
      </c>
      <c r="P40" s="43">
        <f t="shared" si="3"/>
        <v>87991.967061571311</v>
      </c>
      <c r="Q40" s="43">
        <f t="shared" si="4"/>
        <v>20111753.038119022</v>
      </c>
    </row>
    <row r="41" spans="1:17" x14ac:dyDescent="0.25">
      <c r="A41" s="186">
        <v>2052</v>
      </c>
      <c r="B41" s="318">
        <f>'VMT Ton-Mile Driver Time'!F42*'Crash Rates'!$B$10+'VMT Ton-Mile Driver Time'!F86*'Crash Rates'!$B$17</f>
        <v>0.62124816701705554</v>
      </c>
      <c r="C41" s="319">
        <f>'VMT Ton-Mile Driver Time'!M42*'Crash Rates'!$B$10+'VMT Ton-Mile Driver Time'!M86*'Crash Rates'!$B$17</f>
        <v>1.4693169968814375</v>
      </c>
      <c r="D41" s="189">
        <f t="shared" ref="D41" si="5">C41-B41</f>
        <v>0.84806882986438192</v>
      </c>
      <c r="E41" s="190">
        <f>D41*'Monetized Values and Factors'!$M$89</f>
        <v>8141460.7666980661</v>
      </c>
      <c r="F41" s="320">
        <f>'VMT Ton-Mile Driver Time'!F42*'Crash Rates'!$C$10+'VMT Ton-Mile Driver Time'!F86*'Crash Rates'!$C$17</f>
        <v>18.921604052918166</v>
      </c>
      <c r="G41" s="321">
        <f>'VMT Ton-Mile Driver Time'!M42*'Crash Rates'!$C$10+'VMT Ton-Mile Driver Time'!M86*'Crash Rates'!$C$17</f>
        <v>44.667689226558416</v>
      </c>
      <c r="H41" s="321">
        <f t="shared" ref="H41" si="6">G41-F41</f>
        <v>25.74608517364025</v>
      </c>
      <c r="I41" s="190">
        <f>H41*'Monetized Values and Factors'!$P$94</f>
        <v>11616633.630346481</v>
      </c>
      <c r="J41" s="322">
        <f>'VMT Ton-Mile Driver Time'!F42*'Crash Rates'!$D$10</f>
        <v>45.496508517476649</v>
      </c>
      <c r="K41" s="189">
        <f>'VMT Ton-Mile Driver Time'!M42*'Crash Rates'!$D$10</f>
        <v>107.27945596233772</v>
      </c>
      <c r="L41" s="189">
        <f t="shared" ref="L41" si="7">K41-J41</f>
        <v>61.782947444861072</v>
      </c>
      <c r="M41" s="190">
        <f>L41*'Monetized Values and Factors'!$M$102</f>
        <v>265666.6740129026</v>
      </c>
      <c r="N41" s="323">
        <f>'VMT Ton-Mile Driver Time'!F86*'Crash Rates'!$B$21</f>
        <v>50193.626859154923</v>
      </c>
      <c r="O41" s="190">
        <f>'VMT Ton-Mile Driver Time'!M86*'Crash Rates'!$B$21</f>
        <v>138185.59392072624</v>
      </c>
      <c r="P41" s="191">
        <f t="shared" ref="P41" si="8">O41-N41</f>
        <v>87991.967061571311</v>
      </c>
      <c r="Q41" s="191">
        <f t="shared" ref="Q41" si="9">E41+I41+M41+P41</f>
        <v>20111753.038119022</v>
      </c>
    </row>
    <row r="42" spans="1:17" ht="15.75" thickBot="1" x14ac:dyDescent="0.3">
      <c r="A42" s="153" t="s">
        <v>1</v>
      </c>
      <c r="B42" s="200">
        <f t="shared" ref="B42:Q42" si="10">SUM(B3:B41)</f>
        <v>15.216324967486242</v>
      </c>
      <c r="C42" s="187">
        <f t="shared" si="10"/>
        <v>35.9882026085481</v>
      </c>
      <c r="D42" s="187">
        <f t="shared" si="10"/>
        <v>20.771877641061838</v>
      </c>
      <c r="E42" s="154">
        <f t="shared" si="10"/>
        <v>199410025.35419366</v>
      </c>
      <c r="F42" s="200">
        <f t="shared" si="10"/>
        <v>463.44969926873523</v>
      </c>
      <c r="G42" s="187">
        <f t="shared" si="10"/>
        <v>1094.052442973787</v>
      </c>
      <c r="H42" s="187">
        <f t="shared" si="10"/>
        <v>630.60274370505169</v>
      </c>
      <c r="I42" s="154">
        <f t="shared" si="10"/>
        <v>284527957.95971924</v>
      </c>
      <c r="J42" s="200">
        <f t="shared" si="10"/>
        <v>1114.3528387568251</v>
      </c>
      <c r="K42" s="187">
        <f t="shared" si="10"/>
        <v>2627.6118802830115</v>
      </c>
      <c r="L42" s="187">
        <f t="shared" si="10"/>
        <v>1513.2590415261861</v>
      </c>
      <c r="M42" s="154">
        <f t="shared" si="10"/>
        <v>6507013.8785625976</v>
      </c>
      <c r="N42" s="163">
        <f t="shared" si="10"/>
        <v>1229400.0660845069</v>
      </c>
      <c r="O42" s="154">
        <f t="shared" si="10"/>
        <v>3384600.5743871043</v>
      </c>
      <c r="P42" s="155">
        <f t="shared" si="10"/>
        <v>2155200.5083025959</v>
      </c>
      <c r="Q42" s="155">
        <f t="shared" si="10"/>
        <v>492600197.70077813</v>
      </c>
    </row>
    <row r="44" spans="1:17" x14ac:dyDescent="0.25">
      <c r="B44" s="204"/>
      <c r="C44" s="181"/>
      <c r="D44" s="181">
        <f>D42/C42</f>
        <v>0.57718574797975597</v>
      </c>
      <c r="E44" s="181"/>
      <c r="F44" s="181"/>
      <c r="G44" s="181"/>
      <c r="H44" s="181">
        <f>H42/G42</f>
        <v>0.57639169653603217</v>
      </c>
      <c r="I44" s="181"/>
      <c r="J44" s="181"/>
      <c r="K44" s="181"/>
      <c r="L44" s="181">
        <f>L42/K42</f>
        <v>0.57590660663446158</v>
      </c>
      <c r="M44" s="181"/>
      <c r="N44" s="181"/>
      <c r="O44" s="181"/>
      <c r="P44" s="181"/>
      <c r="Q44" s="181"/>
    </row>
    <row r="45" spans="1:17" x14ac:dyDescent="0.25">
      <c r="M45" s="284"/>
      <c r="N45" s="284"/>
      <c r="O45" s="284"/>
      <c r="P45" s="284"/>
    </row>
  </sheetData>
  <mergeCells count="1">
    <mergeCell ref="A1:Q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43"/>
  <sheetViews>
    <sheetView topLeftCell="A3" zoomScale="70" zoomScaleNormal="70" workbookViewId="0">
      <selection activeCell="N43" sqref="N43"/>
    </sheetView>
  </sheetViews>
  <sheetFormatPr defaultColWidth="9.140625" defaultRowHeight="15" x14ac:dyDescent="0.25"/>
  <cols>
    <col min="1" max="1" width="9.140625" style="3" customWidth="1"/>
    <col min="2" max="2" width="21.42578125" style="3" bestFit="1" customWidth="1"/>
    <col min="3" max="3" width="18.140625" style="3" bestFit="1" customWidth="1"/>
    <col min="4" max="4" width="18.28515625" style="3" customWidth="1"/>
    <col min="5" max="5" width="16.85546875" style="3" bestFit="1" customWidth="1"/>
    <col min="6" max="6" width="24.7109375" style="3" customWidth="1"/>
    <col min="7" max="7" width="20.42578125" style="3" customWidth="1"/>
    <col min="8" max="8" width="7.140625" style="3" customWidth="1"/>
    <col min="9" max="9" width="25.42578125" style="3" customWidth="1"/>
    <col min="10" max="10" width="27" style="3" customWidth="1"/>
    <col min="11" max="11" width="24.140625" style="3" customWidth="1"/>
    <col min="12" max="12" width="22" style="3" customWidth="1"/>
    <col min="13" max="13" width="6.140625" style="3" customWidth="1"/>
    <col min="14" max="14" width="19.85546875" style="3" customWidth="1"/>
    <col min="15" max="16384" width="9.140625" style="3"/>
  </cols>
  <sheetData>
    <row r="1" spans="1:14" ht="29.25" customHeight="1" thickBot="1" x14ac:dyDescent="0.4">
      <c r="A1" s="478" t="s">
        <v>46</v>
      </c>
      <c r="B1" s="478"/>
      <c r="C1" s="478"/>
      <c r="D1" s="478"/>
      <c r="E1" s="478"/>
      <c r="F1" s="478"/>
      <c r="G1" s="478"/>
    </row>
    <row r="2" spans="1:14" ht="45" x14ac:dyDescent="0.25">
      <c r="A2" s="194"/>
      <c r="B2" s="195" t="s">
        <v>331</v>
      </c>
      <c r="C2" s="195" t="s">
        <v>332</v>
      </c>
      <c r="D2" s="195" t="s">
        <v>383</v>
      </c>
      <c r="E2" s="195" t="s">
        <v>333</v>
      </c>
      <c r="F2" s="195" t="s">
        <v>384</v>
      </c>
      <c r="G2" s="195" t="s">
        <v>390</v>
      </c>
      <c r="I2" s="370" t="s">
        <v>334</v>
      </c>
      <c r="J2" s="195" t="s">
        <v>335</v>
      </c>
      <c r="K2" s="195" t="s">
        <v>391</v>
      </c>
      <c r="L2" s="196" t="s">
        <v>336</v>
      </c>
      <c r="N2" s="375" t="s">
        <v>337</v>
      </c>
    </row>
    <row r="3" spans="1:14" x14ac:dyDescent="0.25">
      <c r="A3" s="366">
        <v>2014</v>
      </c>
      <c r="B3" s="38">
        <f>'State of Good Repair'!E3</f>
        <v>0</v>
      </c>
      <c r="C3" s="38">
        <f>'Economic Competitiveness'!D3+'Economic Competitiveness'!G3</f>
        <v>0</v>
      </c>
      <c r="D3" s="38">
        <f>Environmental!I90+Environmental!J90+Environmental!K90+Environmental!L90+Environmental!H90</f>
        <v>0</v>
      </c>
      <c r="E3" s="38">
        <f>' Safety'!Q3</f>
        <v>0</v>
      </c>
      <c r="F3" s="38">
        <f t="shared" ref="F3" si="0">B3+C3+D3+E3</f>
        <v>0</v>
      </c>
      <c r="G3" s="38">
        <f>$F3/(1+7%)^($A3-2017)</f>
        <v>0</v>
      </c>
      <c r="I3" s="371">
        <f>$B3/(1+7%)^($A3-2017)</f>
        <v>0</v>
      </c>
      <c r="J3" s="38">
        <f>$C3/(1+7%)^($A3-2017)</f>
        <v>0</v>
      </c>
      <c r="K3" s="38">
        <f>$D3/(1+7%)^($A3-2017)</f>
        <v>0</v>
      </c>
      <c r="L3" s="39">
        <f>$E3/(1+7%)^($A3-2017)</f>
        <v>0</v>
      </c>
      <c r="N3" s="220">
        <f>F3-'Summary of Costs'!D3</f>
        <v>-1179401.4612</v>
      </c>
    </row>
    <row r="4" spans="1:14" x14ac:dyDescent="0.25">
      <c r="A4" s="366">
        <v>2015</v>
      </c>
      <c r="B4" s="38">
        <f>'State of Good Repair'!E4</f>
        <v>0</v>
      </c>
      <c r="C4" s="38">
        <f>'Economic Competitiveness'!D4+'Economic Competitiveness'!G4</f>
        <v>0</v>
      </c>
      <c r="D4" s="38">
        <f>Environmental!I91+Environmental!J91+Environmental!K91+Environmental!L91+Environmental!H91</f>
        <v>0</v>
      </c>
      <c r="E4" s="38">
        <f>' Safety'!Q4</f>
        <v>0</v>
      </c>
      <c r="F4" s="38">
        <f t="shared" ref="F4:F40" si="1">B4+C4+D4+E4</f>
        <v>0</v>
      </c>
      <c r="G4" s="38">
        <f t="shared" ref="G4:G41" si="2">$F4/(1+7%)^($A4-2017)</f>
        <v>0</v>
      </c>
      <c r="I4" s="371">
        <f t="shared" ref="I4:I41" si="3">$B4/(1+7%)^($A4-2017)</f>
        <v>0</v>
      </c>
      <c r="J4" s="38">
        <f t="shared" ref="J4:J41" si="4">$C4/(1+7%)^($A4-2017)</f>
        <v>0</v>
      </c>
      <c r="K4" s="38">
        <f t="shared" ref="K4:K40" si="5">$D4/(1+7%)^($A4-2017)</f>
        <v>0</v>
      </c>
      <c r="L4" s="39">
        <f t="shared" ref="L4:L41" si="6">$E4/(1+7%)^($A4-2017)</f>
        <v>0</v>
      </c>
      <c r="N4" s="220">
        <f>F4-'Summary of Costs'!D4</f>
        <v>-22144054.442666665</v>
      </c>
    </row>
    <row r="5" spans="1:14" x14ac:dyDescent="0.25">
      <c r="A5" s="366">
        <v>2016</v>
      </c>
      <c r="B5" s="38">
        <f>'State of Good Repair'!E5</f>
        <v>0</v>
      </c>
      <c r="C5" s="38">
        <f>'Economic Competitiveness'!D5+'Economic Competitiveness'!G5</f>
        <v>0</v>
      </c>
      <c r="D5" s="38">
        <f>Environmental!I92+Environmental!J92+Environmental!K92+Environmental!L92+Environmental!H92</f>
        <v>0</v>
      </c>
      <c r="E5" s="38">
        <f>' Safety'!Q5</f>
        <v>0</v>
      </c>
      <c r="F5" s="38">
        <f t="shared" si="1"/>
        <v>0</v>
      </c>
      <c r="G5" s="38">
        <f t="shared" si="2"/>
        <v>0</v>
      </c>
      <c r="I5" s="371">
        <f t="shared" si="3"/>
        <v>0</v>
      </c>
      <c r="J5" s="38">
        <f t="shared" si="4"/>
        <v>0</v>
      </c>
      <c r="K5" s="38">
        <f t="shared" si="5"/>
        <v>0</v>
      </c>
      <c r="L5" s="39">
        <f t="shared" si="6"/>
        <v>0</v>
      </c>
      <c r="N5" s="220">
        <f>F5-'Summary of Costs'!D5</f>
        <v>-293807.35533333337</v>
      </c>
    </row>
    <row r="6" spans="1:14" x14ac:dyDescent="0.25">
      <c r="A6" s="366">
        <v>2017</v>
      </c>
      <c r="B6" s="38">
        <f>'State of Good Repair'!E6</f>
        <v>0</v>
      </c>
      <c r="C6" s="38">
        <f>'Economic Competitiveness'!D6+'Economic Competitiveness'!G6</f>
        <v>0</v>
      </c>
      <c r="D6" s="38">
        <f>Environmental!I93+Environmental!J93+Environmental!K93+Environmental!L93+Environmental!H93</f>
        <v>0</v>
      </c>
      <c r="E6" s="38">
        <f>' Safety'!Q6</f>
        <v>0</v>
      </c>
      <c r="F6" s="38">
        <f t="shared" si="1"/>
        <v>0</v>
      </c>
      <c r="G6" s="38">
        <f t="shared" si="2"/>
        <v>0</v>
      </c>
      <c r="I6" s="371">
        <f t="shared" si="3"/>
        <v>0</v>
      </c>
      <c r="J6" s="38">
        <f t="shared" si="4"/>
        <v>0</v>
      </c>
      <c r="K6" s="38">
        <f t="shared" si="5"/>
        <v>0</v>
      </c>
      <c r="L6" s="39">
        <f t="shared" si="6"/>
        <v>0</v>
      </c>
      <c r="N6" s="220">
        <f>F6-'Summary of Costs'!D6</f>
        <v>-5238647.4064333336</v>
      </c>
    </row>
    <row r="7" spans="1:14" x14ac:dyDescent="0.25">
      <c r="A7" s="366">
        <v>2018</v>
      </c>
      <c r="B7" s="38">
        <f>'State of Good Repair'!E7</f>
        <v>0</v>
      </c>
      <c r="C7" s="38">
        <f>'Economic Competitiveness'!D7+'Economic Competitiveness'!G7</f>
        <v>0</v>
      </c>
      <c r="D7" s="38">
        <f>Environmental!I94+Environmental!J94+Environmental!K94+Environmental!L94+Environmental!H94</f>
        <v>0</v>
      </c>
      <c r="E7" s="38">
        <f>' Safety'!Q7</f>
        <v>0</v>
      </c>
      <c r="F7" s="38">
        <f t="shared" si="1"/>
        <v>0</v>
      </c>
      <c r="G7" s="38">
        <f t="shared" si="2"/>
        <v>0</v>
      </c>
      <c r="I7" s="371">
        <f t="shared" si="3"/>
        <v>0</v>
      </c>
      <c r="J7" s="38">
        <f t="shared" si="4"/>
        <v>0</v>
      </c>
      <c r="K7" s="38">
        <f t="shared" si="5"/>
        <v>0</v>
      </c>
      <c r="L7" s="39">
        <f t="shared" si="6"/>
        <v>0</v>
      </c>
      <c r="N7" s="220">
        <f>F7-'Summary of Costs'!D7</f>
        <v>-43426330.075339705</v>
      </c>
    </row>
    <row r="8" spans="1:14" x14ac:dyDescent="0.25">
      <c r="A8" s="366">
        <v>2019</v>
      </c>
      <c r="B8" s="38">
        <f>'State of Good Repair'!E8</f>
        <v>0</v>
      </c>
      <c r="C8" s="38">
        <f>'Economic Competitiveness'!D8+'Economic Competitiveness'!G8</f>
        <v>0</v>
      </c>
      <c r="D8" s="38">
        <f>Environmental!I95+Environmental!J95+Environmental!K95+Environmental!L95+Environmental!H95</f>
        <v>0</v>
      </c>
      <c r="E8" s="38">
        <f>' Safety'!Q8</f>
        <v>0</v>
      </c>
      <c r="F8" s="38">
        <f t="shared" si="1"/>
        <v>0</v>
      </c>
      <c r="G8" s="38">
        <f t="shared" si="2"/>
        <v>0</v>
      </c>
      <c r="I8" s="371">
        <f t="shared" si="3"/>
        <v>0</v>
      </c>
      <c r="J8" s="38">
        <f t="shared" si="4"/>
        <v>0</v>
      </c>
      <c r="K8" s="38">
        <f t="shared" si="5"/>
        <v>0</v>
      </c>
      <c r="L8" s="39">
        <f t="shared" si="6"/>
        <v>0</v>
      </c>
      <c r="N8" s="220">
        <f>F8-'Summary of Costs'!D8</f>
        <v>-221389578.80465811</v>
      </c>
    </row>
    <row r="9" spans="1:14" x14ac:dyDescent="0.25">
      <c r="A9" s="366">
        <v>2020</v>
      </c>
      <c r="B9" s="38">
        <f>'State of Good Repair'!E9</f>
        <v>0</v>
      </c>
      <c r="C9" s="38">
        <f>'Economic Competitiveness'!D9+'Economic Competitiveness'!G9</f>
        <v>0</v>
      </c>
      <c r="D9" s="38">
        <f>Environmental!I96+Environmental!J96+Environmental!K96+Environmental!L96+Environmental!H96</f>
        <v>0</v>
      </c>
      <c r="E9" s="38">
        <f>' Safety'!Q9</f>
        <v>0</v>
      </c>
      <c r="F9" s="38">
        <f t="shared" si="1"/>
        <v>0</v>
      </c>
      <c r="G9" s="38">
        <f t="shared" si="2"/>
        <v>0</v>
      </c>
      <c r="I9" s="371">
        <f t="shared" si="3"/>
        <v>0</v>
      </c>
      <c r="J9" s="38">
        <f t="shared" si="4"/>
        <v>0</v>
      </c>
      <c r="K9" s="38">
        <f t="shared" si="5"/>
        <v>0</v>
      </c>
      <c r="L9" s="39">
        <f t="shared" si="6"/>
        <v>0</v>
      </c>
      <c r="N9" s="220">
        <f>F9-'Summary of Costs'!D9</f>
        <v>-99401003.494561687</v>
      </c>
    </row>
    <row r="10" spans="1:14" x14ac:dyDescent="0.25">
      <c r="A10" s="366">
        <v>2021</v>
      </c>
      <c r="B10" s="38">
        <f>'State of Good Repair'!E10</f>
        <v>0</v>
      </c>
      <c r="C10" s="38">
        <f>'Economic Competitiveness'!D10+'Economic Competitiveness'!G10</f>
        <v>0</v>
      </c>
      <c r="D10" s="38">
        <f>Environmental!I97+Environmental!J97+Environmental!K97+Environmental!L97+Environmental!H97</f>
        <v>0</v>
      </c>
      <c r="E10" s="38">
        <f>' Safety'!Q10</f>
        <v>0</v>
      </c>
      <c r="F10" s="38">
        <f t="shared" si="1"/>
        <v>0</v>
      </c>
      <c r="G10" s="38">
        <f t="shared" si="2"/>
        <v>0</v>
      </c>
      <c r="I10" s="371">
        <f t="shared" si="3"/>
        <v>0</v>
      </c>
      <c r="J10" s="38">
        <f t="shared" si="4"/>
        <v>0</v>
      </c>
      <c r="K10" s="38">
        <f t="shared" si="5"/>
        <v>0</v>
      </c>
      <c r="L10" s="39">
        <f t="shared" si="6"/>
        <v>0</v>
      </c>
      <c r="N10" s="220">
        <f>F10-'Summary of Costs'!D10</f>
        <v>-60538044.92878589</v>
      </c>
    </row>
    <row r="11" spans="1:14" x14ac:dyDescent="0.25">
      <c r="A11" s="366">
        <v>2022</v>
      </c>
      <c r="B11" s="38">
        <f>'State of Good Repair'!E11</f>
        <v>0</v>
      </c>
      <c r="C11" s="38">
        <f>'Economic Competitiveness'!D11+'Economic Competitiveness'!G11</f>
        <v>0</v>
      </c>
      <c r="D11" s="38">
        <f>Environmental!I98+Environmental!J98+Environmental!K98+Environmental!L98+Environmental!H98</f>
        <v>0</v>
      </c>
      <c r="E11" s="38">
        <f>' Safety'!Q11</f>
        <v>0</v>
      </c>
      <c r="F11" s="38">
        <f t="shared" si="1"/>
        <v>0</v>
      </c>
      <c r="G11" s="38">
        <f t="shared" si="2"/>
        <v>0</v>
      </c>
      <c r="I11" s="371">
        <f t="shared" si="3"/>
        <v>0</v>
      </c>
      <c r="J11" s="38">
        <f t="shared" si="4"/>
        <v>0</v>
      </c>
      <c r="K11" s="38">
        <f t="shared" si="5"/>
        <v>0</v>
      </c>
      <c r="L11" s="39">
        <f t="shared" si="6"/>
        <v>0</v>
      </c>
      <c r="N11" s="220">
        <f>F11-'Summary of Costs'!D11</f>
        <v>-47380089.474905327</v>
      </c>
    </row>
    <row r="12" spans="1:14" x14ac:dyDescent="0.25">
      <c r="A12" s="366">
        <v>2023</v>
      </c>
      <c r="B12" s="38">
        <f>'State of Good Repair'!E12</f>
        <v>1241589.6428377214</v>
      </c>
      <c r="C12" s="38">
        <f>'Economic Competitiveness'!D12+'Economic Competitiveness'!G12</f>
        <v>5337934.4487342071</v>
      </c>
      <c r="D12" s="38">
        <f>Environmental!I99+Environmental!J99+Environmental!K99+Environmental!L99+Environmental!H99</f>
        <v>1267748.4794617062</v>
      </c>
      <c r="E12" s="38">
        <f>' Safety'!Q12</f>
        <v>1377517.3313780148</v>
      </c>
      <c r="F12" s="38">
        <f t="shared" si="1"/>
        <v>9224789.9024116509</v>
      </c>
      <c r="G12" s="38">
        <f t="shared" si="2"/>
        <v>6146867.0178130893</v>
      </c>
      <c r="I12" s="371">
        <f t="shared" si="3"/>
        <v>827323.60367603682</v>
      </c>
      <c r="J12" s="38">
        <f t="shared" si="4"/>
        <v>3556891.1111563216</v>
      </c>
      <c r="K12" s="38">
        <f t="shared" si="5"/>
        <v>844754.34104451572</v>
      </c>
      <c r="L12" s="39">
        <f t="shared" si="6"/>
        <v>917897.96193621412</v>
      </c>
      <c r="N12" s="220">
        <f>F12-'Summary of Costs'!D12</f>
        <v>-14513311.298678275</v>
      </c>
    </row>
    <row r="13" spans="1:14" x14ac:dyDescent="0.25">
      <c r="A13" s="366">
        <v>2024</v>
      </c>
      <c r="B13" s="38">
        <f>'State of Good Repair'!E13</f>
        <v>2483179.2856754428</v>
      </c>
      <c r="C13" s="38">
        <f>'Economic Competitiveness'!D13+'Economic Competitiveness'!G13</f>
        <v>10675868.897468414</v>
      </c>
      <c r="D13" s="38">
        <f>Environmental!I100+Environmental!J100+Environmental!K100+Environmental!L100+Environmental!H100</f>
        <v>2512561.7435818547</v>
      </c>
      <c r="E13" s="38">
        <f>' Safety'!Q13</f>
        <v>2755034.6627560295</v>
      </c>
      <c r="F13" s="38">
        <f t="shared" si="1"/>
        <v>18426644.589481741</v>
      </c>
      <c r="G13" s="38">
        <f t="shared" si="2"/>
        <v>11475188.161898851</v>
      </c>
      <c r="I13" s="371">
        <f t="shared" si="3"/>
        <v>1546399.2592075453</v>
      </c>
      <c r="J13" s="38">
        <f t="shared" si="4"/>
        <v>6648394.600292189</v>
      </c>
      <c r="K13" s="38">
        <f t="shared" si="5"/>
        <v>1564697.1772846982</v>
      </c>
      <c r="L13" s="39">
        <f t="shared" si="6"/>
        <v>1715697.1251144188</v>
      </c>
      <c r="N13" s="220">
        <f>F13-'Summary of Costs'!D13</f>
        <v>15816052.257914707</v>
      </c>
    </row>
    <row r="14" spans="1:14" x14ac:dyDescent="0.25">
      <c r="A14" s="366">
        <v>2025</v>
      </c>
      <c r="B14" s="38">
        <f>'State of Good Repair'!E14</f>
        <v>3724768.9285131642</v>
      </c>
      <c r="C14" s="38">
        <f>'Economic Competitiveness'!D14+'Economic Competitiveness'!G14</f>
        <v>16013803.346202614</v>
      </c>
      <c r="D14" s="38">
        <f>Environmental!I101+Environmental!J101+Environmental!K101+Environmental!L101+Environmental!H101</f>
        <v>3738809.7963237525</v>
      </c>
      <c r="E14" s="38">
        <f>' Safety'!Q14</f>
        <v>4132551.9941340424</v>
      </c>
      <c r="F14" s="38">
        <f t="shared" si="1"/>
        <v>27609934.065173574</v>
      </c>
      <c r="G14" s="38">
        <f t="shared" si="2"/>
        <v>16069233.002371423</v>
      </c>
      <c r="I14" s="371">
        <f t="shared" si="3"/>
        <v>2167849.4287956245</v>
      </c>
      <c r="J14" s="38">
        <f t="shared" si="4"/>
        <v>9320179.3462039996</v>
      </c>
      <c r="K14" s="38">
        <f t="shared" si="5"/>
        <v>2176021.3416973809</v>
      </c>
      <c r="L14" s="39">
        <f t="shared" si="6"/>
        <v>2405182.885674418</v>
      </c>
      <c r="N14" s="220">
        <f>F14-'Summary of Costs'!D14</f>
        <v>24999341.73360654</v>
      </c>
    </row>
    <row r="15" spans="1:14" x14ac:dyDescent="0.25">
      <c r="A15" s="366">
        <v>2026</v>
      </c>
      <c r="B15" s="38">
        <f>'State of Good Repair'!E15</f>
        <v>4966358.5713508856</v>
      </c>
      <c r="C15" s="38">
        <f>'Economic Competitiveness'!D15+'Economic Competitiveness'!G15</f>
        <v>21351737.794936828</v>
      </c>
      <c r="D15" s="38">
        <f>Environmental!I102+Environmental!J102+Environmental!K102+Environmental!L102+Environmental!H102</f>
        <v>4950116.7117500314</v>
      </c>
      <c r="E15" s="38">
        <f>' Safety'!Q15</f>
        <v>5510069.325512059</v>
      </c>
      <c r="F15" s="38">
        <f t="shared" si="1"/>
        <v>36778282.403549805</v>
      </c>
      <c r="G15" s="38">
        <f t="shared" si="2"/>
        <v>20004948.79357956</v>
      </c>
      <c r="I15" s="371">
        <f t="shared" si="3"/>
        <v>2701370.0047297496</v>
      </c>
      <c r="J15" s="38">
        <f t="shared" si="4"/>
        <v>11613930.649475392</v>
      </c>
      <c r="K15" s="38">
        <f t="shared" si="5"/>
        <v>2692535.509250531</v>
      </c>
      <c r="L15" s="39">
        <f t="shared" si="6"/>
        <v>2997112.6301238863</v>
      </c>
      <c r="N15" s="220">
        <f>F15-'Summary of Costs'!D15</f>
        <v>34167690.071982771</v>
      </c>
    </row>
    <row r="16" spans="1:14" x14ac:dyDescent="0.25">
      <c r="A16" s="366">
        <v>2027</v>
      </c>
      <c r="B16" s="38">
        <f>'State of Good Repair'!E16</f>
        <v>6207948.2141886074</v>
      </c>
      <c r="C16" s="38">
        <f>'Economic Competitiveness'!D16+'Economic Competitiveness'!G16</f>
        <v>26689672.24367103</v>
      </c>
      <c r="D16" s="38">
        <f>Environmental!I103+Environmental!J103+Environmental!K103+Environmental!L103+Environmental!H103</f>
        <v>6149480.7457612092</v>
      </c>
      <c r="E16" s="38">
        <f>' Safety'!Q16</f>
        <v>6887586.6568900729</v>
      </c>
      <c r="F16" s="38">
        <f t="shared" si="1"/>
        <v>45934687.860510916</v>
      </c>
      <c r="G16" s="38">
        <f t="shared" si="2"/>
        <v>23350866.058319937</v>
      </c>
      <c r="I16" s="371">
        <f t="shared" si="3"/>
        <v>3155806.0802917639</v>
      </c>
      <c r="J16" s="38">
        <f t="shared" si="4"/>
        <v>13567675.992377793</v>
      </c>
      <c r="K16" s="38">
        <f t="shared" si="5"/>
        <v>3126084.1841037874</v>
      </c>
      <c r="L16" s="39">
        <f t="shared" si="6"/>
        <v>3501299.801546596</v>
      </c>
      <c r="N16" s="220">
        <f>F16-'Summary of Costs'!D16</f>
        <v>43324095.528943881</v>
      </c>
    </row>
    <row r="17" spans="1:14" x14ac:dyDescent="0.25">
      <c r="A17" s="366">
        <v>2028</v>
      </c>
      <c r="B17" s="38">
        <f>'State of Good Repair'!E17</f>
        <v>7449537.8570263283</v>
      </c>
      <c r="C17" s="38">
        <f>'Economic Competitiveness'!D17+'Economic Competitiveness'!G17</f>
        <v>32027606.692405228</v>
      </c>
      <c r="D17" s="38">
        <f>Environmental!I104+Environmental!J104+Environmental!K104+Environmental!L104+Environmental!H104</f>
        <v>7339375.7782329042</v>
      </c>
      <c r="E17" s="38">
        <f>' Safety'!Q17</f>
        <v>8265103.9882680848</v>
      </c>
      <c r="F17" s="38">
        <f t="shared" si="1"/>
        <v>55081624.315932542</v>
      </c>
      <c r="G17" s="38">
        <f t="shared" si="2"/>
        <v>26168882.925826881</v>
      </c>
      <c r="I17" s="371">
        <f t="shared" si="3"/>
        <v>3539221.7722898279</v>
      </c>
      <c r="J17" s="38">
        <f t="shared" si="4"/>
        <v>15216085.225096585</v>
      </c>
      <c r="K17" s="38">
        <f t="shared" si="5"/>
        <v>3486884.5622199904</v>
      </c>
      <c r="L17" s="39">
        <f t="shared" si="6"/>
        <v>3926691.3662204798</v>
      </c>
      <c r="N17" s="220">
        <f>F17-'Summary of Costs'!D17</f>
        <v>52471031.984365508</v>
      </c>
    </row>
    <row r="18" spans="1:14" x14ac:dyDescent="0.25">
      <c r="A18" s="366">
        <v>2029</v>
      </c>
      <c r="B18" s="38">
        <f>'State of Good Repair'!E18</f>
        <v>9932717.1427017711</v>
      </c>
      <c r="C18" s="38">
        <f>'Economic Competitiveness'!D18+'Economic Competitiveness'!G18</f>
        <v>42703475.589873657</v>
      </c>
      <c r="D18" s="38">
        <f>Environmental!I105+Environmental!J105+Environmental!K105+Environmental!L105+Environmental!H105</f>
        <v>9739242.1950866152</v>
      </c>
      <c r="E18" s="38">
        <f>' Safety'!Q18</f>
        <v>11020138.651024118</v>
      </c>
      <c r="F18" s="38">
        <f t="shared" si="1"/>
        <v>73395573.578686163</v>
      </c>
      <c r="G18" s="38">
        <f t="shared" si="2"/>
        <v>32588512.424269989</v>
      </c>
      <c r="I18" s="371">
        <f t="shared" si="3"/>
        <v>4410245.1991150519</v>
      </c>
      <c r="J18" s="38">
        <f t="shared" si="4"/>
        <v>18960853.863048717</v>
      </c>
      <c r="K18" s="38">
        <f t="shared" si="5"/>
        <v>4324340.008560447</v>
      </c>
      <c r="L18" s="39">
        <f t="shared" si="6"/>
        <v>4893073.3535457719</v>
      </c>
      <c r="N18" s="220">
        <f>F18-'Summary of Costs'!D18</f>
        <v>70784981.247119129</v>
      </c>
    </row>
    <row r="19" spans="1:14" x14ac:dyDescent="0.25">
      <c r="A19" s="366">
        <v>2030</v>
      </c>
      <c r="B19" s="38">
        <f>'State of Good Repair'!E19</f>
        <v>12415896.428377215</v>
      </c>
      <c r="C19" s="38">
        <f>'Economic Competitiveness'!D19+'Economic Competitiveness'!G19</f>
        <v>53379344.48734206</v>
      </c>
      <c r="D19" s="38">
        <f>Environmental!I106+Environmental!J106+Environmental!K106+Environmental!L106+Environmental!H106</f>
        <v>12123165.876430189</v>
      </c>
      <c r="E19" s="38">
        <f>' Safety'!Q19</f>
        <v>13775173.313780146</v>
      </c>
      <c r="F19" s="38">
        <f t="shared" si="1"/>
        <v>91693580.105929598</v>
      </c>
      <c r="G19" s="38">
        <f t="shared" si="2"/>
        <v>38049575.843580469</v>
      </c>
      <c r="I19" s="371">
        <f t="shared" si="3"/>
        <v>5152155.6064428175</v>
      </c>
      <c r="J19" s="38">
        <f t="shared" si="4"/>
        <v>22150530.213841952</v>
      </c>
      <c r="K19" s="38">
        <f t="shared" si="5"/>
        <v>5030682.834574013</v>
      </c>
      <c r="L19" s="39">
        <f t="shared" si="6"/>
        <v>5716207.188721695</v>
      </c>
      <c r="N19" s="220">
        <f>F19-'Summary of Costs'!D19</f>
        <v>89082987.774362564</v>
      </c>
    </row>
    <row r="20" spans="1:14" x14ac:dyDescent="0.25">
      <c r="A20" s="366">
        <v>2031</v>
      </c>
      <c r="B20" s="38">
        <f>'State of Good Repair'!E20</f>
        <v>14899075.714052657</v>
      </c>
      <c r="C20" s="38">
        <f>'Economic Competitiveness'!D20+'Economic Competitiveness'!G20</f>
        <v>64055213.384810455</v>
      </c>
      <c r="D20" s="38">
        <f>Environmental!I107+Environmental!J107+Environmental!K107+Environmental!L107+Environmental!H107</f>
        <v>14494434.501818646</v>
      </c>
      <c r="E20" s="38">
        <f>' Safety'!Q20</f>
        <v>16530207.97653617</v>
      </c>
      <c r="F20" s="38">
        <f t="shared" si="1"/>
        <v>109978931.57721792</v>
      </c>
      <c r="G20" s="38">
        <f t="shared" si="2"/>
        <v>42651725.814309806</v>
      </c>
      <c r="I20" s="371">
        <f t="shared" si="3"/>
        <v>5778118.4371321313</v>
      </c>
      <c r="J20" s="38">
        <f t="shared" si="4"/>
        <v>24841716.127673212</v>
      </c>
      <c r="K20" s="38">
        <f t="shared" si="5"/>
        <v>5621191.5986016309</v>
      </c>
      <c r="L20" s="39">
        <f t="shared" si="6"/>
        <v>6410699.6509028338</v>
      </c>
      <c r="N20" s="220">
        <f>F20-'Summary of Costs'!D20</f>
        <v>107368339.24565089</v>
      </c>
    </row>
    <row r="21" spans="1:14" x14ac:dyDescent="0.25">
      <c r="A21" s="366">
        <v>2032</v>
      </c>
      <c r="B21" s="38">
        <f>'State of Good Repair'!E21</f>
        <v>18127208.785430737</v>
      </c>
      <c r="C21" s="38">
        <f>'Economic Competitiveness'!D21+'Economic Competitiveness'!G21</f>
        <v>77933842.951519415</v>
      </c>
      <c r="D21" s="38">
        <f>Environmental!I108+Environmental!J108+Environmental!K108+Environmental!L108+Environmental!H108</f>
        <v>17578143.937590044</v>
      </c>
      <c r="E21" s="38">
        <f>' Safety'!Q21</f>
        <v>20111753.038119022</v>
      </c>
      <c r="F21" s="38">
        <f t="shared" si="1"/>
        <v>133750948.71265922</v>
      </c>
      <c r="G21" s="38">
        <f t="shared" si="2"/>
        <v>48477498.984292723</v>
      </c>
      <c r="I21" s="371">
        <f t="shared" si="3"/>
        <v>6570134.6715053832</v>
      </c>
      <c r="J21" s="38">
        <f t="shared" si="4"/>
        <v>28246811.173210979</v>
      </c>
      <c r="K21" s="38">
        <f t="shared" si="5"/>
        <v>6371128.3028799864</v>
      </c>
      <c r="L21" s="39">
        <f t="shared" si="6"/>
        <v>7289424.8366963733</v>
      </c>
      <c r="N21" s="220">
        <f>F21-'Summary of Costs'!D21</f>
        <v>131140356.38109219</v>
      </c>
    </row>
    <row r="22" spans="1:14" x14ac:dyDescent="0.25">
      <c r="A22" s="366">
        <v>2033</v>
      </c>
      <c r="B22" s="38">
        <f>'State of Good Repair'!E22</f>
        <v>18127208.785430737</v>
      </c>
      <c r="C22" s="38">
        <f>'Economic Competitiveness'!D22+'Economic Competitiveness'!G22</f>
        <v>77933842.951519415</v>
      </c>
      <c r="D22" s="38">
        <f>Environmental!I109+Environmental!J109+Environmental!K109+Environmental!L109+Environmental!H109</f>
        <v>17528528.43130818</v>
      </c>
      <c r="E22" s="38">
        <f>' Safety'!Q22</f>
        <v>20111753.038119022</v>
      </c>
      <c r="F22" s="38">
        <f t="shared" si="1"/>
        <v>133701333.20637736</v>
      </c>
      <c r="G22" s="38">
        <f t="shared" si="2"/>
        <v>45289267.328531146</v>
      </c>
      <c r="I22" s="371">
        <f t="shared" si="3"/>
        <v>6140312.7771078357</v>
      </c>
      <c r="J22" s="38">
        <f t="shared" si="4"/>
        <v>26398888.946926154</v>
      </c>
      <c r="K22" s="38">
        <f t="shared" si="5"/>
        <v>5937519.0281454073</v>
      </c>
      <c r="L22" s="39">
        <f t="shared" si="6"/>
        <v>6812546.5763517525</v>
      </c>
      <c r="N22" s="220">
        <f>F22-'Summary of Costs'!D22</f>
        <v>131090740.87481032</v>
      </c>
    </row>
    <row r="23" spans="1:14" x14ac:dyDescent="0.25">
      <c r="A23" s="366">
        <v>2034</v>
      </c>
      <c r="B23" s="38">
        <f>'State of Good Repair'!E23</f>
        <v>18127208.785430737</v>
      </c>
      <c r="C23" s="38">
        <f>'Economic Competitiveness'!D23+'Economic Competitiveness'!G23</f>
        <v>77933842.951519415</v>
      </c>
      <c r="D23" s="38">
        <f>Environmental!I110+Environmental!J110+Environmental!K110+Environmental!L110+Environmental!H110</f>
        <v>17485142.287802059</v>
      </c>
      <c r="E23" s="38">
        <f>' Safety'!Q23</f>
        <v>20111753.038119022</v>
      </c>
      <c r="F23" s="38">
        <f t="shared" si="1"/>
        <v>133657947.06287123</v>
      </c>
      <c r="G23" s="38">
        <f t="shared" si="2"/>
        <v>42312683.122112766</v>
      </c>
      <c r="I23" s="371">
        <f t="shared" si="3"/>
        <v>5738610.0720633985</v>
      </c>
      <c r="J23" s="38">
        <f t="shared" si="4"/>
        <v>24671858.828902945</v>
      </c>
      <c r="K23" s="38">
        <f t="shared" si="5"/>
        <v>5535348.2619391736</v>
      </c>
      <c r="L23" s="39">
        <f t="shared" si="6"/>
        <v>6366865.9592072451</v>
      </c>
      <c r="N23" s="220">
        <f>F23-'Summary of Costs'!D23</f>
        <v>131047354.7313042</v>
      </c>
    </row>
    <row r="24" spans="1:14" x14ac:dyDescent="0.25">
      <c r="A24" s="366">
        <v>2035</v>
      </c>
      <c r="B24" s="38">
        <f>'State of Good Repair'!E24</f>
        <v>18127208.785430737</v>
      </c>
      <c r="C24" s="38">
        <f>'Economic Competitiveness'!D24+'Economic Competitiveness'!G24</f>
        <v>77933842.951519415</v>
      </c>
      <c r="D24" s="38">
        <f>Environmental!I111+Environmental!J111+Environmental!K111+Environmental!L111+Environmental!H111</f>
        <v>17540552.204883665</v>
      </c>
      <c r="E24" s="38">
        <f>' Safety'!Q24</f>
        <v>20111753.038119022</v>
      </c>
      <c r="F24" s="38">
        <f t="shared" si="1"/>
        <v>133713356.97995284</v>
      </c>
      <c r="G24" s="38">
        <f t="shared" si="2"/>
        <v>39560957.460596763</v>
      </c>
      <c r="I24" s="371">
        <f t="shared" si="3"/>
        <v>5363186.9832368204</v>
      </c>
      <c r="J24" s="38">
        <f t="shared" si="4"/>
        <v>23057811.989628922</v>
      </c>
      <c r="K24" s="38">
        <f t="shared" si="5"/>
        <v>5189616.4697803268</v>
      </c>
      <c r="L24" s="39">
        <f t="shared" si="6"/>
        <v>5950342.0179506959</v>
      </c>
      <c r="N24" s="220">
        <f>F24-'Summary of Costs'!D24</f>
        <v>131102764.64838581</v>
      </c>
    </row>
    <row r="25" spans="1:14" x14ac:dyDescent="0.25">
      <c r="A25" s="366">
        <v>2036</v>
      </c>
      <c r="B25" s="38">
        <f>'State of Good Repair'!E25</f>
        <v>18127208.785430737</v>
      </c>
      <c r="C25" s="38">
        <f>'Economic Competitiveness'!D25+'Economic Competitiveness'!G25</f>
        <v>77933842.951519415</v>
      </c>
      <c r="D25" s="38">
        <f>Environmental!I112+Environmental!J112+Environmental!K112+Environmental!L112+Environmental!H112</f>
        <v>17507271.849875446</v>
      </c>
      <c r="E25" s="38">
        <f>' Safety'!Q25</f>
        <v>20111753.038119022</v>
      </c>
      <c r="F25" s="38">
        <f t="shared" si="1"/>
        <v>133680076.62494463</v>
      </c>
      <c r="G25" s="38">
        <f t="shared" si="2"/>
        <v>36963655.144324727</v>
      </c>
      <c r="I25" s="371">
        <f t="shared" si="3"/>
        <v>5012324.2833988974</v>
      </c>
      <c r="J25" s="38">
        <f t="shared" si="4"/>
        <v>21549356.999653198</v>
      </c>
      <c r="K25" s="38">
        <f t="shared" si="5"/>
        <v>4840906.5547766555</v>
      </c>
      <c r="L25" s="39">
        <f t="shared" si="6"/>
        <v>5561067.3064959776</v>
      </c>
      <c r="N25" s="220">
        <f>F25-'Summary of Costs'!D25</f>
        <v>131069484.29337759</v>
      </c>
    </row>
    <row r="26" spans="1:14" x14ac:dyDescent="0.25">
      <c r="A26" s="366">
        <v>2037</v>
      </c>
      <c r="B26" s="38">
        <f>'State of Good Repair'!E26</f>
        <v>18127208.785430737</v>
      </c>
      <c r="C26" s="38">
        <f>'Economic Competitiveness'!D26+'Economic Competitiveness'!G26</f>
        <v>77933842.951519415</v>
      </c>
      <c r="D26" s="38">
        <f>Environmental!I113+Environmental!J113+Environmental!K113+Environmental!L113+Environmental!H113</f>
        <v>17507271.849875446</v>
      </c>
      <c r="E26" s="38">
        <f>' Safety'!Q26</f>
        <v>20111753.038119022</v>
      </c>
      <c r="F26" s="38">
        <f t="shared" si="1"/>
        <v>133680076.62494463</v>
      </c>
      <c r="G26" s="38">
        <f t="shared" si="2"/>
        <v>34545472.097499751</v>
      </c>
      <c r="I26" s="371">
        <f t="shared" si="3"/>
        <v>4684415.2181298109</v>
      </c>
      <c r="J26" s="38">
        <f t="shared" si="4"/>
        <v>20139585.980984297</v>
      </c>
      <c r="K26" s="38">
        <f t="shared" si="5"/>
        <v>4524211.7334361272</v>
      </c>
      <c r="L26" s="39">
        <f t="shared" si="6"/>
        <v>5197259.1649495121</v>
      </c>
      <c r="N26" s="220">
        <f>F26-'Summary of Costs'!D26</f>
        <v>131069484.29337759</v>
      </c>
    </row>
    <row r="27" spans="1:14" x14ac:dyDescent="0.25">
      <c r="A27" s="366">
        <v>2038</v>
      </c>
      <c r="B27" s="38">
        <f>'State of Good Repair'!E27</f>
        <v>18127208.785430737</v>
      </c>
      <c r="C27" s="38">
        <f>'Economic Competitiveness'!D27+'Economic Competitiveness'!G27</f>
        <v>77933842.951519415</v>
      </c>
      <c r="D27" s="38">
        <f>Environmental!I114+Environmental!J114+Environmental!K114+Environmental!L114+Environmental!H114</f>
        <v>17507271.849875446</v>
      </c>
      <c r="E27" s="38">
        <f>' Safety'!Q27</f>
        <v>20111753.038119022</v>
      </c>
      <c r="F27" s="38">
        <f t="shared" si="1"/>
        <v>133680076.62494463</v>
      </c>
      <c r="G27" s="38">
        <f t="shared" si="2"/>
        <v>32285487.941588547</v>
      </c>
      <c r="I27" s="371">
        <f t="shared" si="3"/>
        <v>4377958.1477848701</v>
      </c>
      <c r="J27" s="38">
        <f t="shared" si="4"/>
        <v>18822042.97288252</v>
      </c>
      <c r="K27" s="38">
        <f t="shared" si="5"/>
        <v>4228235.2648935765</v>
      </c>
      <c r="L27" s="39">
        <f t="shared" si="6"/>
        <v>4857251.556027581</v>
      </c>
      <c r="N27" s="220">
        <f>F27-'Summary of Costs'!D27</f>
        <v>131069484.29337759</v>
      </c>
    </row>
    <row r="28" spans="1:14" x14ac:dyDescent="0.25">
      <c r="A28" s="366">
        <v>2039</v>
      </c>
      <c r="B28" s="38">
        <f>'State of Good Repair'!E28</f>
        <v>18127208.785430737</v>
      </c>
      <c r="C28" s="38">
        <f>'Economic Competitiveness'!D28+'Economic Competitiveness'!G28</f>
        <v>77933842.951519415</v>
      </c>
      <c r="D28" s="38">
        <f>Environmental!I115+Environmental!J115+Environmental!K115+Environmental!L115+Environmental!H115</f>
        <v>17507271.849875446</v>
      </c>
      <c r="E28" s="38">
        <f>' Safety'!Q28</f>
        <v>20111753.038119022</v>
      </c>
      <c r="F28" s="38">
        <f t="shared" si="1"/>
        <v>133680076.62494463</v>
      </c>
      <c r="G28" s="38">
        <f t="shared" si="2"/>
        <v>30173353.216437895</v>
      </c>
      <c r="I28" s="371">
        <f t="shared" si="3"/>
        <v>4091549.6708269813</v>
      </c>
      <c r="J28" s="38">
        <f t="shared" si="4"/>
        <v>17590694.367179926</v>
      </c>
      <c r="K28" s="38">
        <f t="shared" si="5"/>
        <v>3951621.7428911934</v>
      </c>
      <c r="L28" s="39">
        <f t="shared" si="6"/>
        <v>4539487.4355397951</v>
      </c>
      <c r="N28" s="220">
        <f>F28-'Summary of Costs'!D28</f>
        <v>131069484.29337759</v>
      </c>
    </row>
    <row r="29" spans="1:14" x14ac:dyDescent="0.25">
      <c r="A29" s="366">
        <v>2040</v>
      </c>
      <c r="B29" s="38">
        <f>'State of Good Repair'!E29</f>
        <v>18127208.785430737</v>
      </c>
      <c r="C29" s="38">
        <f>'Economic Competitiveness'!D29+'Economic Competitiveness'!G29</f>
        <v>77933842.951519415</v>
      </c>
      <c r="D29" s="38">
        <f>Environmental!I116+Environmental!J116+Environmental!K116+Environmental!L116+Environmental!H116</f>
        <v>17507271.849875446</v>
      </c>
      <c r="E29" s="38">
        <f>' Safety'!Q29</f>
        <v>20111753.038119022</v>
      </c>
      <c r="F29" s="38">
        <f t="shared" si="1"/>
        <v>133680076.62494463</v>
      </c>
      <c r="G29" s="38">
        <f t="shared" si="2"/>
        <v>28199395.529381212</v>
      </c>
      <c r="I29" s="371">
        <f t="shared" si="3"/>
        <v>3823878.197034562</v>
      </c>
      <c r="J29" s="38">
        <f t="shared" si="4"/>
        <v>16439901.277738247</v>
      </c>
      <c r="K29" s="38">
        <f t="shared" si="5"/>
        <v>3693104.4326085919</v>
      </c>
      <c r="L29" s="39">
        <f t="shared" si="6"/>
        <v>4242511.6219998086</v>
      </c>
      <c r="N29" s="220">
        <f>F29-'Summary of Costs'!D29</f>
        <v>131069484.29337759</v>
      </c>
    </row>
    <row r="30" spans="1:14" x14ac:dyDescent="0.25">
      <c r="A30" s="366">
        <v>2041</v>
      </c>
      <c r="B30" s="38">
        <f>'State of Good Repair'!E30</f>
        <v>18127208.785430737</v>
      </c>
      <c r="C30" s="38">
        <f>'Economic Competitiveness'!D30+'Economic Competitiveness'!G30</f>
        <v>77933842.951519415</v>
      </c>
      <c r="D30" s="38">
        <f>Environmental!I117+Environmental!J117+Environmental!K117+Environmental!L117+Environmental!H117</f>
        <v>17507271.849875446</v>
      </c>
      <c r="E30" s="38">
        <f>' Safety'!Q30</f>
        <v>20111753.038119022</v>
      </c>
      <c r="F30" s="38">
        <f t="shared" si="1"/>
        <v>133680076.62494463</v>
      </c>
      <c r="G30" s="38">
        <f t="shared" si="2"/>
        <v>26354575.261103936</v>
      </c>
      <c r="I30" s="371">
        <f t="shared" si="3"/>
        <v>3573717.9411537959</v>
      </c>
      <c r="J30" s="38">
        <f t="shared" si="4"/>
        <v>15364393.71751238</v>
      </c>
      <c r="K30" s="38">
        <f t="shared" si="5"/>
        <v>3451499.4697276554</v>
      </c>
      <c r="L30" s="39">
        <f t="shared" si="6"/>
        <v>3964964.1327101015</v>
      </c>
      <c r="N30" s="220">
        <f>F30-'Summary of Costs'!D30</f>
        <v>131069484.29337759</v>
      </c>
    </row>
    <row r="31" spans="1:14" x14ac:dyDescent="0.25">
      <c r="A31" s="366">
        <v>2042</v>
      </c>
      <c r="B31" s="38">
        <f>'State of Good Repair'!E31</f>
        <v>18127208.785430737</v>
      </c>
      <c r="C31" s="38">
        <f>'Economic Competitiveness'!D31+'Economic Competitiveness'!G31</f>
        <v>77933842.951519415</v>
      </c>
      <c r="D31" s="38">
        <f>Environmental!I118+Environmental!J118+Environmental!K118+Environmental!L118+Environmental!H118</f>
        <v>17507271.849875446</v>
      </c>
      <c r="E31" s="38">
        <f>' Safety'!Q31</f>
        <v>20111753.038119022</v>
      </c>
      <c r="F31" s="38">
        <f t="shared" si="1"/>
        <v>133680076.62494463</v>
      </c>
      <c r="G31" s="38">
        <f t="shared" si="2"/>
        <v>24630444.169256013</v>
      </c>
      <c r="I31" s="371">
        <f t="shared" si="3"/>
        <v>3339923.3094895286</v>
      </c>
      <c r="J31" s="38">
        <f t="shared" si="4"/>
        <v>14359246.464964841</v>
      </c>
      <c r="K31" s="38">
        <f t="shared" si="5"/>
        <v>3225700.4389978088</v>
      </c>
      <c r="L31" s="39">
        <f t="shared" si="6"/>
        <v>3705573.955803833</v>
      </c>
      <c r="N31" s="220">
        <f>F31-'Summary of Costs'!D31</f>
        <v>131069484.29337759</v>
      </c>
    </row>
    <row r="32" spans="1:14" x14ac:dyDescent="0.25">
      <c r="A32" s="366">
        <v>2043</v>
      </c>
      <c r="B32" s="38">
        <f>'State of Good Repair'!E32</f>
        <v>18127208.785430737</v>
      </c>
      <c r="C32" s="38">
        <f>'Economic Competitiveness'!D32+'Economic Competitiveness'!G32</f>
        <v>77933842.951519415</v>
      </c>
      <c r="D32" s="38">
        <f>Environmental!I119+Environmental!J119+Environmental!K119+Environmental!L119+Environmental!H119</f>
        <v>17507271.849875446</v>
      </c>
      <c r="E32" s="38">
        <f>' Safety'!Q32</f>
        <v>20111753.038119022</v>
      </c>
      <c r="F32" s="38">
        <f t="shared" si="1"/>
        <v>133680076.62494463</v>
      </c>
      <c r="G32" s="38">
        <f t="shared" si="2"/>
        <v>23019106.700239267</v>
      </c>
      <c r="I32" s="371">
        <f t="shared" si="3"/>
        <v>3121423.6537285317</v>
      </c>
      <c r="J32" s="38">
        <f t="shared" si="4"/>
        <v>13419856.509312935</v>
      </c>
      <c r="K32" s="38">
        <f t="shared" si="5"/>
        <v>3014673.307474588</v>
      </c>
      <c r="L32" s="39">
        <f t="shared" si="6"/>
        <v>3463153.2297232086</v>
      </c>
      <c r="N32" s="220">
        <f>F32-'Summary of Costs'!D32</f>
        <v>131069484.29337759</v>
      </c>
    </row>
    <row r="33" spans="1:15" x14ac:dyDescent="0.25">
      <c r="A33" s="366">
        <v>2044</v>
      </c>
      <c r="B33" s="38">
        <f>'State of Good Repair'!E33</f>
        <v>18127208.785430737</v>
      </c>
      <c r="C33" s="38">
        <f>'Economic Competitiveness'!D33+'Economic Competitiveness'!G33</f>
        <v>77933842.951519415</v>
      </c>
      <c r="D33" s="38">
        <f>Environmental!I120+Environmental!J120+Environmental!K120+Environmental!L120+Environmental!H120</f>
        <v>17507271.849875446</v>
      </c>
      <c r="E33" s="38">
        <f>' Safety'!Q33</f>
        <v>20111753.038119022</v>
      </c>
      <c r="F33" s="38">
        <f t="shared" si="1"/>
        <v>133680076.62494463</v>
      </c>
      <c r="G33" s="38">
        <f t="shared" si="2"/>
        <v>21513183.831999309</v>
      </c>
      <c r="I33" s="371">
        <f t="shared" si="3"/>
        <v>2917218.36797059</v>
      </c>
      <c r="J33" s="38">
        <f t="shared" si="4"/>
        <v>12541921.971320499</v>
      </c>
      <c r="K33" s="38">
        <f t="shared" si="5"/>
        <v>2817451.6892285864</v>
      </c>
      <c r="L33" s="39">
        <f t="shared" si="6"/>
        <v>3236591.8034796333</v>
      </c>
      <c r="N33" s="220">
        <f>F33-'Summary of Costs'!D33</f>
        <v>131069484.29337759</v>
      </c>
    </row>
    <row r="34" spans="1:15" x14ac:dyDescent="0.25">
      <c r="A34" s="366">
        <v>2045</v>
      </c>
      <c r="B34" s="38">
        <f>'State of Good Repair'!E34</f>
        <v>18127208.785430737</v>
      </c>
      <c r="C34" s="38">
        <f>'Economic Competitiveness'!D34+'Economic Competitiveness'!G34</f>
        <v>77933842.951519415</v>
      </c>
      <c r="D34" s="38">
        <f>Environmental!I121+Environmental!J121+Environmental!K121+Environmental!L121+Environmental!H121</f>
        <v>17507271.849875446</v>
      </c>
      <c r="E34" s="38">
        <f>' Safety'!Q34</f>
        <v>20111753.038119022</v>
      </c>
      <c r="F34" s="38">
        <f t="shared" si="1"/>
        <v>133680076.62494463</v>
      </c>
      <c r="G34" s="38">
        <f t="shared" si="2"/>
        <v>20105779.28224235</v>
      </c>
      <c r="I34" s="371">
        <f t="shared" si="3"/>
        <v>2726372.3065145705</v>
      </c>
      <c r="J34" s="38">
        <f t="shared" si="4"/>
        <v>11721422.403103271</v>
      </c>
      <c r="K34" s="38">
        <f t="shared" si="5"/>
        <v>2633132.4198398008</v>
      </c>
      <c r="L34" s="39">
        <f t="shared" si="6"/>
        <v>3024852.1527847047</v>
      </c>
      <c r="N34" s="220">
        <f>F34-'Summary of Costs'!D34</f>
        <v>131069484.29337759</v>
      </c>
    </row>
    <row r="35" spans="1:15" x14ac:dyDescent="0.25">
      <c r="A35" s="366">
        <v>2046</v>
      </c>
      <c r="B35" s="38">
        <f>'State of Good Repair'!E35</f>
        <v>18127208.785430737</v>
      </c>
      <c r="C35" s="38">
        <f>'Economic Competitiveness'!D35+'Economic Competitiveness'!G35</f>
        <v>77933842.951519415</v>
      </c>
      <c r="D35" s="38">
        <f>Environmental!I122+Environmental!J122+Environmental!K122+Environmental!L122+Environmental!H122</f>
        <v>17507271.849875446</v>
      </c>
      <c r="E35" s="38">
        <f>' Safety'!Q35</f>
        <v>20111753.038119022</v>
      </c>
      <c r="F35" s="38">
        <f t="shared" si="1"/>
        <v>133680076.62494463</v>
      </c>
      <c r="G35" s="38">
        <f t="shared" si="2"/>
        <v>18790447.927329298</v>
      </c>
      <c r="I35" s="371">
        <f t="shared" si="3"/>
        <v>2548011.5014154864</v>
      </c>
      <c r="J35" s="38">
        <f t="shared" si="4"/>
        <v>10954600.376732029</v>
      </c>
      <c r="K35" s="38">
        <f t="shared" si="5"/>
        <v>2460871.4204110289</v>
      </c>
      <c r="L35" s="39">
        <f t="shared" si="6"/>
        <v>2826964.6287707519</v>
      </c>
      <c r="N35" s="220">
        <f>F35-'Summary of Costs'!D35</f>
        <v>131069484.29337759</v>
      </c>
    </row>
    <row r="36" spans="1:15" x14ac:dyDescent="0.25">
      <c r="A36" s="366">
        <v>2047</v>
      </c>
      <c r="B36" s="38">
        <f>'State of Good Repair'!E36</f>
        <v>18127208.785430737</v>
      </c>
      <c r="C36" s="38">
        <f>'Economic Competitiveness'!D36+'Economic Competitiveness'!G36</f>
        <v>77933842.951519415</v>
      </c>
      <c r="D36" s="38">
        <f>Environmental!I123+Environmental!J123+Environmental!K123+Environmental!L123+Environmental!H123</f>
        <v>17507271.849875446</v>
      </c>
      <c r="E36" s="38">
        <f>' Safety'!Q36</f>
        <v>20111753.038119022</v>
      </c>
      <c r="F36" s="38">
        <f t="shared" si="1"/>
        <v>133680076.62494463</v>
      </c>
      <c r="G36" s="38">
        <f t="shared" si="2"/>
        <v>17561166.287223645</v>
      </c>
      <c r="I36" s="371">
        <f t="shared" si="3"/>
        <v>2381319.1602013893</v>
      </c>
      <c r="J36" s="38">
        <f t="shared" si="4"/>
        <v>10237944.277319655</v>
      </c>
      <c r="K36" s="38">
        <f t="shared" si="5"/>
        <v>2299879.83215984</v>
      </c>
      <c r="L36" s="39">
        <f t="shared" si="6"/>
        <v>2642023.017542759</v>
      </c>
      <c r="N36" s="220">
        <f>F36-'Summary of Costs'!D36</f>
        <v>131069484.29337759</v>
      </c>
    </row>
    <row r="37" spans="1:15" x14ac:dyDescent="0.25">
      <c r="A37" s="366">
        <v>2048</v>
      </c>
      <c r="B37" s="38">
        <f>'State of Good Repair'!E37</f>
        <v>18127208.785430737</v>
      </c>
      <c r="C37" s="38">
        <f>'Economic Competitiveness'!D37+'Economic Competitiveness'!G37</f>
        <v>77933842.951519415</v>
      </c>
      <c r="D37" s="38">
        <f>Environmental!I124+Environmental!J124+Environmental!K124+Environmental!L124+Environmental!H124</f>
        <v>17507271.849875446</v>
      </c>
      <c r="E37" s="38">
        <f>' Safety'!Q37</f>
        <v>20111753.038119022</v>
      </c>
      <c r="F37" s="38">
        <f t="shared" si="1"/>
        <v>133680076.62494463</v>
      </c>
      <c r="G37" s="38">
        <f t="shared" si="2"/>
        <v>16412304.941330504</v>
      </c>
      <c r="I37" s="371">
        <f t="shared" si="3"/>
        <v>2225531.9254218587</v>
      </c>
      <c r="J37" s="38">
        <f t="shared" si="4"/>
        <v>9568172.221794067</v>
      </c>
      <c r="K37" s="38">
        <f t="shared" si="5"/>
        <v>2149420.4038877003</v>
      </c>
      <c r="L37" s="39">
        <f t="shared" si="6"/>
        <v>2469180.3902268773</v>
      </c>
      <c r="N37" s="220">
        <f>F37-'Summary of Costs'!D37</f>
        <v>131069484.29337759</v>
      </c>
    </row>
    <row r="38" spans="1:15" x14ac:dyDescent="0.25">
      <c r="A38" s="366">
        <v>2049</v>
      </c>
      <c r="B38" s="38">
        <f>'State of Good Repair'!E38</f>
        <v>18127208.785430737</v>
      </c>
      <c r="C38" s="38">
        <f>'Economic Competitiveness'!D38+'Economic Competitiveness'!G38</f>
        <v>77933842.951519415</v>
      </c>
      <c r="D38" s="38">
        <f>Environmental!I125+Environmental!J125+Environmental!K125+Environmental!L125+Environmental!H125</f>
        <v>17507271.849875446</v>
      </c>
      <c r="E38" s="38">
        <f>' Safety'!Q38</f>
        <v>20111753.038119022</v>
      </c>
      <c r="F38" s="38">
        <f t="shared" si="1"/>
        <v>133680076.62494463</v>
      </c>
      <c r="G38" s="38">
        <f t="shared" si="2"/>
        <v>15338602.748907015</v>
      </c>
      <c r="I38" s="371">
        <f t="shared" si="3"/>
        <v>2079936.3788989335</v>
      </c>
      <c r="J38" s="38">
        <f t="shared" si="4"/>
        <v>8942217.0297140833</v>
      </c>
      <c r="K38" s="38">
        <f t="shared" si="5"/>
        <v>2008804.1157828979</v>
      </c>
      <c r="L38" s="39">
        <f t="shared" si="6"/>
        <v>2307645.2245111004</v>
      </c>
      <c r="N38" s="220">
        <f>F38-'Summary of Costs'!D38</f>
        <v>131069484.29337759</v>
      </c>
    </row>
    <row r="39" spans="1:15" x14ac:dyDescent="0.25">
      <c r="A39" s="366">
        <v>2050</v>
      </c>
      <c r="B39" s="38">
        <f>'State of Good Repair'!E39</f>
        <v>18127208.785430737</v>
      </c>
      <c r="C39" s="38">
        <f>'Economic Competitiveness'!D39+'Economic Competitiveness'!G39</f>
        <v>77933842.951519415</v>
      </c>
      <c r="D39" s="38">
        <f>Environmental!I126+Environmental!J126+Environmental!K126+Environmental!L126+Environmental!H126</f>
        <v>17507271.849875446</v>
      </c>
      <c r="E39" s="38">
        <f>' Safety'!Q39</f>
        <v>20111753.038119022</v>
      </c>
      <c r="F39" s="38">
        <f>B39+C39+D39+E39</f>
        <v>133680076.62494463</v>
      </c>
      <c r="G39" s="38">
        <f t="shared" si="2"/>
        <v>14335142.755987864</v>
      </c>
      <c r="I39" s="371">
        <f t="shared" si="3"/>
        <v>1943865.7746719006</v>
      </c>
      <c r="J39" s="38">
        <f t="shared" si="4"/>
        <v>8357212.1773028811</v>
      </c>
      <c r="K39" s="38">
        <f t="shared" si="5"/>
        <v>1877387.0240961662</v>
      </c>
      <c r="L39" s="39">
        <f t="shared" si="6"/>
        <v>2156677.779916916</v>
      </c>
      <c r="N39" s="220">
        <f>F39-'Summary of Costs'!D39</f>
        <v>131069484.29337759</v>
      </c>
    </row>
    <row r="40" spans="1:15" x14ac:dyDescent="0.25">
      <c r="A40" s="366">
        <v>2051</v>
      </c>
      <c r="B40" s="38">
        <f>'State of Good Repair'!E40</f>
        <v>18127208.785430737</v>
      </c>
      <c r="C40" s="38">
        <f>'Economic Competitiveness'!D40+'Economic Competitiveness'!G40</f>
        <v>77933842.951519415</v>
      </c>
      <c r="D40" s="38">
        <f>Environmental!I127+Environmental!J127+Environmental!K127+Environmental!L127+Environmental!H127</f>
        <v>17507271.849875446</v>
      </c>
      <c r="E40" s="38">
        <f>' Safety'!Q40</f>
        <v>20111753.038119022</v>
      </c>
      <c r="F40" s="38">
        <f t="shared" si="1"/>
        <v>133680076.62494463</v>
      </c>
      <c r="G40" s="38">
        <f t="shared" si="2"/>
        <v>13397329.678493332</v>
      </c>
      <c r="I40" s="371">
        <f t="shared" si="3"/>
        <v>1816696.9856746735</v>
      </c>
      <c r="J40" s="38">
        <f t="shared" si="4"/>
        <v>7810478.6703765243</v>
      </c>
      <c r="K40" s="38">
        <f t="shared" si="5"/>
        <v>1754567.3122394078</v>
      </c>
      <c r="L40" s="39">
        <f t="shared" si="6"/>
        <v>2015586.7102027256</v>
      </c>
      <c r="N40" s="417">
        <f>F40-'Summary of Costs'!D40</f>
        <v>131069484.29337759</v>
      </c>
    </row>
    <row r="41" spans="1:15" x14ac:dyDescent="0.25">
      <c r="A41" s="366">
        <v>2052</v>
      </c>
      <c r="B41" s="38">
        <f>'State of Good Repair'!E41</f>
        <v>18127208.785430737</v>
      </c>
      <c r="C41" s="38">
        <f>'Economic Competitiveness'!D41+'Economic Competitiveness'!G41</f>
        <v>77933842.951519415</v>
      </c>
      <c r="D41" s="38">
        <f>Environmental!I128+Environmental!J128+Environmental!K128+Environmental!L128+Environmental!H128</f>
        <v>17507271.849875446</v>
      </c>
      <c r="E41" s="38">
        <f>' Safety'!Q41</f>
        <v>20111753.038119022</v>
      </c>
      <c r="F41" s="38">
        <f t="shared" ref="F41" si="7">B41+C41+D41+E41</f>
        <v>133680076.62494463</v>
      </c>
      <c r="G41" s="38">
        <f t="shared" si="2"/>
        <v>12520868.858404983</v>
      </c>
      <c r="I41" s="372">
        <f t="shared" si="3"/>
        <v>1697847.6501632461</v>
      </c>
      <c r="J41" s="369">
        <f t="shared" si="4"/>
        <v>7299512.7760528261</v>
      </c>
      <c r="K41" s="369">
        <f>$D41/(1+7%)^($A41-2017)</f>
        <v>1639782.5348031847</v>
      </c>
      <c r="L41" s="373">
        <f t="shared" si="6"/>
        <v>1883725.8973857246</v>
      </c>
      <c r="N41" s="417">
        <f>F41-'Summary of Costs'!D41</f>
        <v>131069484.29337759</v>
      </c>
    </row>
    <row r="42" spans="1:15" ht="15.75" thickBot="1" x14ac:dyDescent="0.3">
      <c r="A42" s="368" t="s">
        <v>1</v>
      </c>
      <c r="B42" s="40">
        <f t="shared" ref="B42:G42" si="8">SUM(B3:B41)</f>
        <v>443992456.27876914</v>
      </c>
      <c r="C42" s="40">
        <f t="shared" si="8"/>
        <v>1908845358.8673527</v>
      </c>
      <c r="D42" s="40">
        <f t="shared" si="8"/>
        <v>430070924.13791347</v>
      </c>
      <c r="E42" s="40">
        <f t="shared" si="8"/>
        <v>492600197.70077813</v>
      </c>
      <c r="F42" s="40">
        <f t="shared" si="8"/>
        <v>3275508936.9848142</v>
      </c>
      <c r="G42" s="312">
        <f t="shared" si="8"/>
        <v>778292523.3092531</v>
      </c>
      <c r="I42" s="163">
        <f>SUM(I3:I41)</f>
        <v>105452724.36807364</v>
      </c>
      <c r="J42" s="154">
        <f>SUM(J3:J41)</f>
        <v>453370188.26177949</v>
      </c>
      <c r="K42" s="154">
        <f>SUM(K3:K41)</f>
        <v>102472053.31733669</v>
      </c>
      <c r="L42" s="155">
        <f>SUM(L3:L41)</f>
        <v>116997557.36206339</v>
      </c>
      <c r="N42" s="418">
        <f>SUM(N3:N41)</f>
        <v>2675072700.7243948</v>
      </c>
    </row>
    <row r="43" spans="1:15" x14ac:dyDescent="0.25">
      <c r="F43" s="185"/>
      <c r="N43" s="374">
        <f>IRR(N3:N41)</f>
        <v>0.10559891614221772</v>
      </c>
      <c r="O43" s="3" t="s">
        <v>338</v>
      </c>
    </row>
  </sheetData>
  <mergeCells count="1">
    <mergeCell ref="A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42"/>
  <sheetViews>
    <sheetView topLeftCell="A16" zoomScale="80" zoomScaleNormal="80" workbookViewId="0">
      <selection activeCell="H41" sqref="A41:H41"/>
    </sheetView>
  </sheetViews>
  <sheetFormatPr defaultColWidth="9.140625" defaultRowHeight="15" x14ac:dyDescent="0.25"/>
  <cols>
    <col min="1" max="1" width="13" style="3" customWidth="1"/>
    <col min="2" max="3" width="15.28515625" style="3" customWidth="1"/>
    <col min="4" max="4" width="16.28515625" style="3" bestFit="1" customWidth="1"/>
    <col min="5" max="5" width="20" style="3" customWidth="1"/>
    <col min="6" max="6" width="9.140625" style="3"/>
    <col min="7" max="7" width="20.42578125" style="3" customWidth="1"/>
    <col min="8" max="8" width="21.28515625" style="3" customWidth="1"/>
    <col min="9" max="16384" width="9.140625" style="3"/>
  </cols>
  <sheetData>
    <row r="1" spans="1:8" ht="21.75" thickBot="1" x14ac:dyDescent="0.4">
      <c r="A1" s="485" t="s">
        <v>47</v>
      </c>
      <c r="B1" s="485"/>
      <c r="C1" s="485"/>
      <c r="D1" s="485"/>
      <c r="E1" s="485"/>
    </row>
    <row r="2" spans="1:8" ht="30" x14ac:dyDescent="0.25">
      <c r="A2" s="294" t="s">
        <v>2</v>
      </c>
      <c r="B2" s="361" t="s">
        <v>323</v>
      </c>
      <c r="C2" s="361" t="s">
        <v>325</v>
      </c>
      <c r="D2" s="166" t="s">
        <v>324</v>
      </c>
      <c r="E2" s="167" t="s">
        <v>310</v>
      </c>
      <c r="G2" s="421" t="s">
        <v>326</v>
      </c>
      <c r="H2" s="422" t="s">
        <v>327</v>
      </c>
    </row>
    <row r="3" spans="1:8" x14ac:dyDescent="0.25">
      <c r="A3" s="366">
        <v>2014</v>
      </c>
      <c r="B3" s="362">
        <f>'Project Costs'!P8</f>
        <v>1179401.4612</v>
      </c>
      <c r="C3" s="363">
        <v>0</v>
      </c>
      <c r="D3" s="38">
        <f>B3+C3</f>
        <v>1179401.4612</v>
      </c>
      <c r="E3" s="39">
        <f>$D3/(1+7%)^($A3-2017)</f>
        <v>1444817.5042328318</v>
      </c>
      <c r="G3" s="162">
        <f>$B3/(1+7%)^($A3-2017)</f>
        <v>1444817.5042328318</v>
      </c>
      <c r="H3" s="220">
        <f>$C3/(1+7%)^($A3-2017)</f>
        <v>0</v>
      </c>
    </row>
    <row r="4" spans="1:8" x14ac:dyDescent="0.25">
      <c r="A4" s="366">
        <v>2015</v>
      </c>
      <c r="B4" s="362">
        <f>'Project Costs'!P9</f>
        <v>22144054.442666665</v>
      </c>
      <c r="C4" s="363">
        <v>0</v>
      </c>
      <c r="D4" s="38">
        <f t="shared" ref="D4:D39" si="0">B4+C4</f>
        <v>22144054.442666665</v>
      </c>
      <c r="E4" s="39">
        <f t="shared" ref="E4:E41" si="1">$D4/(1+7%)^($A4-2017)</f>
        <v>25352727.931409065</v>
      </c>
      <c r="G4" s="162">
        <f t="shared" ref="G4:G41" si="2">$B4/(1+7%)^($A4-2017)</f>
        <v>25352727.931409065</v>
      </c>
      <c r="H4" s="220">
        <f t="shared" ref="H4:H41" si="3">$C4/(1+7%)^($A4-2017)</f>
        <v>0</v>
      </c>
    </row>
    <row r="5" spans="1:8" x14ac:dyDescent="0.25">
      <c r="A5" s="366">
        <v>2016</v>
      </c>
      <c r="B5" s="362">
        <f>'Project Costs'!P10</f>
        <v>293807.35533333337</v>
      </c>
      <c r="C5" s="363">
        <v>0</v>
      </c>
      <c r="D5" s="38">
        <f t="shared" si="0"/>
        <v>293807.35533333337</v>
      </c>
      <c r="E5" s="39">
        <f t="shared" si="1"/>
        <v>314373.8702066667</v>
      </c>
      <c r="G5" s="162">
        <f t="shared" si="2"/>
        <v>314373.8702066667</v>
      </c>
      <c r="H5" s="220">
        <f t="shared" si="3"/>
        <v>0</v>
      </c>
    </row>
    <row r="6" spans="1:8" x14ac:dyDescent="0.25">
      <c r="A6" s="366">
        <v>2017</v>
      </c>
      <c r="B6" s="362">
        <f>'Project Costs'!P11</f>
        <v>5238647.4064333336</v>
      </c>
      <c r="C6" s="363">
        <v>0</v>
      </c>
      <c r="D6" s="38">
        <f t="shared" si="0"/>
        <v>5238647.4064333336</v>
      </c>
      <c r="E6" s="39">
        <f t="shared" si="1"/>
        <v>5238647.4064333336</v>
      </c>
      <c r="G6" s="162">
        <f t="shared" si="2"/>
        <v>5238647.4064333336</v>
      </c>
      <c r="H6" s="220">
        <f t="shared" si="3"/>
        <v>0</v>
      </c>
    </row>
    <row r="7" spans="1:8" x14ac:dyDescent="0.25">
      <c r="A7" s="366">
        <v>2018</v>
      </c>
      <c r="B7" s="362">
        <f>'Project Costs'!P12</f>
        <v>43426330.075339705</v>
      </c>
      <c r="C7" s="363">
        <v>0</v>
      </c>
      <c r="D7" s="38">
        <f t="shared" si="0"/>
        <v>43426330.075339705</v>
      </c>
      <c r="E7" s="39">
        <f t="shared" si="1"/>
        <v>40585355.21059785</v>
      </c>
      <c r="G7" s="162">
        <f t="shared" si="2"/>
        <v>40585355.21059785</v>
      </c>
      <c r="H7" s="220">
        <f t="shared" si="3"/>
        <v>0</v>
      </c>
    </row>
    <row r="8" spans="1:8" x14ac:dyDescent="0.25">
      <c r="A8" s="366">
        <v>2019</v>
      </c>
      <c r="B8" s="362">
        <f>'Project Costs'!P13</f>
        <v>221389578.80465811</v>
      </c>
      <c r="C8" s="363">
        <v>0</v>
      </c>
      <c r="D8" s="38">
        <f t="shared" si="0"/>
        <v>221389578.80465811</v>
      </c>
      <c r="E8" s="39">
        <f t="shared" si="1"/>
        <v>193370232.16408256</v>
      </c>
      <c r="G8" s="162">
        <f t="shared" si="2"/>
        <v>193370232.16408256</v>
      </c>
      <c r="H8" s="220">
        <f t="shared" si="3"/>
        <v>0</v>
      </c>
    </row>
    <row r="9" spans="1:8" x14ac:dyDescent="0.25">
      <c r="A9" s="366">
        <v>2020</v>
      </c>
      <c r="B9" s="362">
        <f>'Project Costs'!P14</f>
        <v>99401003.494561687</v>
      </c>
      <c r="C9" s="363">
        <v>0</v>
      </c>
      <c r="D9" s="38">
        <f t="shared" si="0"/>
        <v>99401003.494561687</v>
      </c>
      <c r="E9" s="39">
        <f t="shared" si="1"/>
        <v>81140828.113430858</v>
      </c>
      <c r="G9" s="162">
        <f t="shared" si="2"/>
        <v>81140828.113430858</v>
      </c>
      <c r="H9" s="220">
        <f t="shared" si="3"/>
        <v>0</v>
      </c>
    </row>
    <row r="10" spans="1:8" x14ac:dyDescent="0.25">
      <c r="A10" s="366">
        <v>2021</v>
      </c>
      <c r="B10" s="362">
        <f>'Project Costs'!P15</f>
        <v>60538044.92878589</v>
      </c>
      <c r="C10" s="363">
        <v>0</v>
      </c>
      <c r="D10" s="38">
        <f t="shared" si="0"/>
        <v>60538044.92878589</v>
      </c>
      <c r="E10" s="39">
        <f t="shared" si="1"/>
        <v>46184184.622888722</v>
      </c>
      <c r="G10" s="162">
        <f t="shared" si="2"/>
        <v>46184184.622888722</v>
      </c>
      <c r="H10" s="220">
        <f t="shared" si="3"/>
        <v>0</v>
      </c>
    </row>
    <row r="11" spans="1:8" x14ac:dyDescent="0.25">
      <c r="A11" s="366">
        <v>2022</v>
      </c>
      <c r="B11" s="362">
        <f>'Project Costs'!P16</f>
        <v>47380089.474905327</v>
      </c>
      <c r="C11" s="362">
        <v>0</v>
      </c>
      <c r="D11" s="38">
        <f t="shared" si="0"/>
        <v>47380089.474905327</v>
      </c>
      <c r="E11" s="39">
        <f t="shared" si="1"/>
        <v>33781348.978307113</v>
      </c>
      <c r="G11" s="162">
        <f t="shared" si="2"/>
        <v>33781348.978307113</v>
      </c>
      <c r="H11" s="220">
        <f t="shared" si="3"/>
        <v>0</v>
      </c>
    </row>
    <row r="12" spans="1:8" x14ac:dyDescent="0.25">
      <c r="A12" s="366">
        <v>2023</v>
      </c>
      <c r="B12" s="362">
        <f>'Project Costs'!P17</f>
        <v>21127508.869522892</v>
      </c>
      <c r="C12" s="362">
        <f>'Project Costs'!$P$19</f>
        <v>2610592.3315670346</v>
      </c>
      <c r="D12" s="38">
        <f t="shared" si="0"/>
        <v>23738101.201089926</v>
      </c>
      <c r="E12" s="39">
        <f t="shared" si="1"/>
        <v>15817699.143515689</v>
      </c>
      <c r="G12" s="162">
        <f t="shared" si="2"/>
        <v>14078151.243820976</v>
      </c>
      <c r="H12" s="220">
        <f t="shared" si="3"/>
        <v>1739547.8996947124</v>
      </c>
    </row>
    <row r="13" spans="1:8" x14ac:dyDescent="0.25">
      <c r="A13" s="366">
        <v>2024</v>
      </c>
      <c r="B13" s="363">
        <v>0</v>
      </c>
      <c r="C13" s="362">
        <f>'Project Costs'!$P$19</f>
        <v>2610592.3315670346</v>
      </c>
      <c r="D13" s="38">
        <f t="shared" si="0"/>
        <v>2610592.3315670346</v>
      </c>
      <c r="E13" s="39">
        <f t="shared" si="1"/>
        <v>1625745.7006492636</v>
      </c>
      <c r="G13" s="162">
        <f t="shared" si="2"/>
        <v>0</v>
      </c>
      <c r="H13" s="220">
        <f t="shared" si="3"/>
        <v>1625745.7006492636</v>
      </c>
    </row>
    <row r="14" spans="1:8" x14ac:dyDescent="0.25">
      <c r="A14" s="366">
        <v>2025</v>
      </c>
      <c r="B14" s="363">
        <v>0</v>
      </c>
      <c r="C14" s="362">
        <f>'Project Costs'!$P$19</f>
        <v>2610592.3315670346</v>
      </c>
      <c r="D14" s="38">
        <f t="shared" si="0"/>
        <v>2610592.3315670346</v>
      </c>
      <c r="E14" s="39">
        <f t="shared" si="1"/>
        <v>1519388.5052796858</v>
      </c>
      <c r="G14" s="162">
        <f t="shared" si="2"/>
        <v>0</v>
      </c>
      <c r="H14" s="220">
        <f t="shared" si="3"/>
        <v>1519388.5052796858</v>
      </c>
    </row>
    <row r="15" spans="1:8" x14ac:dyDescent="0.25">
      <c r="A15" s="366">
        <v>2026</v>
      </c>
      <c r="B15" s="363">
        <v>0</v>
      </c>
      <c r="C15" s="362">
        <f>'Project Costs'!$P$19</f>
        <v>2610592.3315670346</v>
      </c>
      <c r="D15" s="38">
        <f t="shared" si="0"/>
        <v>2610592.3315670346</v>
      </c>
      <c r="E15" s="39">
        <f t="shared" si="1"/>
        <v>1419989.2572707341</v>
      </c>
      <c r="G15" s="162">
        <f t="shared" si="2"/>
        <v>0</v>
      </c>
      <c r="H15" s="220">
        <f t="shared" si="3"/>
        <v>1419989.2572707341</v>
      </c>
    </row>
    <row r="16" spans="1:8" x14ac:dyDescent="0.25">
      <c r="A16" s="366">
        <v>2027</v>
      </c>
      <c r="B16" s="363">
        <v>0</v>
      </c>
      <c r="C16" s="362">
        <f>'Project Costs'!$P$19</f>
        <v>2610592.3315670346</v>
      </c>
      <c r="D16" s="38">
        <f t="shared" si="0"/>
        <v>2610592.3315670346</v>
      </c>
      <c r="E16" s="39">
        <f t="shared" si="1"/>
        <v>1327092.7638044246</v>
      </c>
      <c r="G16" s="162">
        <f t="shared" si="2"/>
        <v>0</v>
      </c>
      <c r="H16" s="220">
        <f t="shared" si="3"/>
        <v>1327092.7638044246</v>
      </c>
    </row>
    <row r="17" spans="1:8" x14ac:dyDescent="0.25">
      <c r="A17" s="366">
        <v>2028</v>
      </c>
      <c r="B17" s="363">
        <v>0</v>
      </c>
      <c r="C17" s="362">
        <f>'Project Costs'!$P$19</f>
        <v>2610592.3315670346</v>
      </c>
      <c r="D17" s="38">
        <f t="shared" si="0"/>
        <v>2610592.3315670346</v>
      </c>
      <c r="E17" s="39">
        <f t="shared" si="1"/>
        <v>1240273.6110321723</v>
      </c>
      <c r="G17" s="162">
        <f t="shared" si="2"/>
        <v>0</v>
      </c>
      <c r="H17" s="220">
        <f t="shared" si="3"/>
        <v>1240273.6110321723</v>
      </c>
    </row>
    <row r="18" spans="1:8" x14ac:dyDescent="0.25">
      <c r="A18" s="366">
        <v>2029</v>
      </c>
      <c r="B18" s="363">
        <v>0</v>
      </c>
      <c r="C18" s="362">
        <f>'Project Costs'!$P$19</f>
        <v>2610592.3315670346</v>
      </c>
      <c r="D18" s="38">
        <f t="shared" si="0"/>
        <v>2610592.3315670346</v>
      </c>
      <c r="E18" s="39">
        <f t="shared" si="1"/>
        <v>1159134.2159179184</v>
      </c>
      <c r="G18" s="162">
        <f t="shared" si="2"/>
        <v>0</v>
      </c>
      <c r="H18" s="220">
        <f t="shared" si="3"/>
        <v>1159134.2159179184</v>
      </c>
    </row>
    <row r="19" spans="1:8" x14ac:dyDescent="0.25">
      <c r="A19" s="366">
        <v>2030</v>
      </c>
      <c r="B19" s="363">
        <v>0</v>
      </c>
      <c r="C19" s="362">
        <f>'Project Costs'!$P$19</f>
        <v>2610592.3315670346</v>
      </c>
      <c r="D19" s="38">
        <f t="shared" si="0"/>
        <v>2610592.3315670346</v>
      </c>
      <c r="E19" s="39">
        <f t="shared" si="1"/>
        <v>1083303.0055307646</v>
      </c>
      <c r="G19" s="162">
        <f t="shared" si="2"/>
        <v>0</v>
      </c>
      <c r="H19" s="220">
        <f t="shared" si="3"/>
        <v>1083303.0055307646</v>
      </c>
    </row>
    <row r="20" spans="1:8" x14ac:dyDescent="0.25">
      <c r="A20" s="366">
        <v>2031</v>
      </c>
      <c r="B20" s="363">
        <v>0</v>
      </c>
      <c r="C20" s="362">
        <f>'Project Costs'!$P$19</f>
        <v>2610592.3315670346</v>
      </c>
      <c r="D20" s="38">
        <f t="shared" si="0"/>
        <v>2610592.3315670346</v>
      </c>
      <c r="E20" s="39">
        <f t="shared" si="1"/>
        <v>1012432.7154493128</v>
      </c>
      <c r="G20" s="162">
        <f t="shared" si="2"/>
        <v>0</v>
      </c>
      <c r="H20" s="220">
        <f t="shared" si="3"/>
        <v>1012432.7154493128</v>
      </c>
    </row>
    <row r="21" spans="1:8" x14ac:dyDescent="0.25">
      <c r="A21" s="366">
        <v>2032</v>
      </c>
      <c r="B21" s="363">
        <v>0</v>
      </c>
      <c r="C21" s="362">
        <f>'Project Costs'!$P$19</f>
        <v>2610592.3315670346</v>
      </c>
      <c r="D21" s="38">
        <f t="shared" si="0"/>
        <v>2610592.3315670346</v>
      </c>
      <c r="E21" s="39">
        <f t="shared" si="1"/>
        <v>946198.79948533897</v>
      </c>
      <c r="G21" s="162">
        <f t="shared" si="2"/>
        <v>0</v>
      </c>
      <c r="H21" s="220">
        <f t="shared" si="3"/>
        <v>946198.79948533897</v>
      </c>
    </row>
    <row r="22" spans="1:8" x14ac:dyDescent="0.25">
      <c r="A22" s="366">
        <v>2033</v>
      </c>
      <c r="B22" s="363">
        <v>0</v>
      </c>
      <c r="C22" s="362">
        <f>'Project Costs'!$P$19</f>
        <v>2610592.3315670346</v>
      </c>
      <c r="D22" s="38">
        <f t="shared" si="0"/>
        <v>2610592.3315670346</v>
      </c>
      <c r="E22" s="39">
        <f t="shared" si="1"/>
        <v>884297.94344424212</v>
      </c>
      <c r="G22" s="162">
        <f t="shared" si="2"/>
        <v>0</v>
      </c>
      <c r="H22" s="220">
        <f t="shared" si="3"/>
        <v>884297.94344424212</v>
      </c>
    </row>
    <row r="23" spans="1:8" x14ac:dyDescent="0.25">
      <c r="A23" s="366">
        <v>2034</v>
      </c>
      <c r="B23" s="363">
        <v>0</v>
      </c>
      <c r="C23" s="362">
        <f>'Project Costs'!$P$19</f>
        <v>2610592.3315670346</v>
      </c>
      <c r="D23" s="38">
        <f t="shared" si="0"/>
        <v>2610592.3315670346</v>
      </c>
      <c r="E23" s="39">
        <f t="shared" si="1"/>
        <v>826446.67611611413</v>
      </c>
      <c r="G23" s="162">
        <f t="shared" si="2"/>
        <v>0</v>
      </c>
      <c r="H23" s="220">
        <f t="shared" si="3"/>
        <v>826446.67611611413</v>
      </c>
    </row>
    <row r="24" spans="1:8" x14ac:dyDescent="0.25">
      <c r="A24" s="366">
        <v>2035</v>
      </c>
      <c r="B24" s="363">
        <v>0</v>
      </c>
      <c r="C24" s="362">
        <f>'Project Costs'!$P$19</f>
        <v>2610592.3315670346</v>
      </c>
      <c r="D24" s="38">
        <f t="shared" si="0"/>
        <v>2610592.3315670346</v>
      </c>
      <c r="E24" s="39">
        <f t="shared" si="1"/>
        <v>772380.07113655529</v>
      </c>
      <c r="G24" s="162">
        <f t="shared" si="2"/>
        <v>0</v>
      </c>
      <c r="H24" s="220">
        <f t="shared" si="3"/>
        <v>772380.07113655529</v>
      </c>
    </row>
    <row r="25" spans="1:8" x14ac:dyDescent="0.25">
      <c r="A25" s="366">
        <v>2036</v>
      </c>
      <c r="B25" s="363">
        <v>0</v>
      </c>
      <c r="C25" s="362">
        <f>'Project Costs'!$P$19</f>
        <v>2610592.3315670346</v>
      </c>
      <c r="D25" s="38">
        <f t="shared" si="0"/>
        <v>2610592.3315670346</v>
      </c>
      <c r="E25" s="39">
        <f t="shared" si="1"/>
        <v>721850.53377248149</v>
      </c>
      <c r="G25" s="162">
        <f t="shared" si="2"/>
        <v>0</v>
      </c>
      <c r="H25" s="220">
        <f t="shared" si="3"/>
        <v>721850.53377248149</v>
      </c>
    </row>
    <row r="26" spans="1:8" x14ac:dyDescent="0.25">
      <c r="A26" s="366">
        <v>2037</v>
      </c>
      <c r="B26" s="363">
        <v>0</v>
      </c>
      <c r="C26" s="362">
        <f>'Project Costs'!$P$19</f>
        <v>2610592.3315670346</v>
      </c>
      <c r="D26" s="38">
        <f t="shared" si="0"/>
        <v>2610592.3315670346</v>
      </c>
      <c r="E26" s="39">
        <f t="shared" si="1"/>
        <v>674626.66707708559</v>
      </c>
      <c r="G26" s="162">
        <f t="shared" si="2"/>
        <v>0</v>
      </c>
      <c r="H26" s="220">
        <f t="shared" si="3"/>
        <v>674626.66707708559</v>
      </c>
    </row>
    <row r="27" spans="1:8" x14ac:dyDescent="0.25">
      <c r="A27" s="366">
        <v>2038</v>
      </c>
      <c r="B27" s="363">
        <v>0</v>
      </c>
      <c r="C27" s="362">
        <f>'Project Costs'!$P$19</f>
        <v>2610592.3315670346</v>
      </c>
      <c r="D27" s="38">
        <f t="shared" si="0"/>
        <v>2610592.3315670346</v>
      </c>
      <c r="E27" s="39">
        <f t="shared" si="1"/>
        <v>630492.2122215752</v>
      </c>
      <c r="G27" s="162">
        <f t="shared" si="2"/>
        <v>0</v>
      </c>
      <c r="H27" s="220">
        <f t="shared" si="3"/>
        <v>630492.2122215752</v>
      </c>
    </row>
    <row r="28" spans="1:8" x14ac:dyDescent="0.25">
      <c r="A28" s="366">
        <v>2039</v>
      </c>
      <c r="B28" s="363">
        <v>0</v>
      </c>
      <c r="C28" s="362">
        <f>'Project Costs'!$P$19</f>
        <v>2610592.3315670346</v>
      </c>
      <c r="D28" s="38">
        <f t="shared" si="0"/>
        <v>2610592.3315670346</v>
      </c>
      <c r="E28" s="39">
        <f t="shared" si="1"/>
        <v>589245.05815100495</v>
      </c>
      <c r="G28" s="162">
        <f t="shared" si="2"/>
        <v>0</v>
      </c>
      <c r="H28" s="220">
        <f t="shared" si="3"/>
        <v>589245.05815100495</v>
      </c>
    </row>
    <row r="29" spans="1:8" x14ac:dyDescent="0.25">
      <c r="A29" s="366">
        <v>2040</v>
      </c>
      <c r="B29" s="363">
        <v>0</v>
      </c>
      <c r="C29" s="362">
        <f>'Project Costs'!$P$19</f>
        <v>2610592.3315670346</v>
      </c>
      <c r="D29" s="38">
        <f t="shared" si="0"/>
        <v>2610592.3315670346</v>
      </c>
      <c r="E29" s="39">
        <f t="shared" si="1"/>
        <v>550696.31602897658</v>
      </c>
      <c r="G29" s="162">
        <f t="shared" si="2"/>
        <v>0</v>
      </c>
      <c r="H29" s="220">
        <f t="shared" si="3"/>
        <v>550696.31602897658</v>
      </c>
    </row>
    <row r="30" spans="1:8" x14ac:dyDescent="0.25">
      <c r="A30" s="366">
        <v>2041</v>
      </c>
      <c r="B30" s="363">
        <v>0</v>
      </c>
      <c r="C30" s="362">
        <f>'Project Costs'!$P$19</f>
        <v>2610592.3315670346</v>
      </c>
      <c r="D30" s="38">
        <f t="shared" si="0"/>
        <v>2610592.3315670346</v>
      </c>
      <c r="E30" s="39">
        <f t="shared" si="1"/>
        <v>514669.45423268835</v>
      </c>
      <c r="G30" s="162">
        <f t="shared" si="2"/>
        <v>0</v>
      </c>
      <c r="H30" s="220">
        <f t="shared" si="3"/>
        <v>514669.45423268835</v>
      </c>
    </row>
    <row r="31" spans="1:8" x14ac:dyDescent="0.25">
      <c r="A31" s="366">
        <v>2042</v>
      </c>
      <c r="B31" s="363">
        <v>0</v>
      </c>
      <c r="C31" s="362">
        <f>'Project Costs'!$P$19</f>
        <v>2610592.3315670346</v>
      </c>
      <c r="D31" s="38">
        <f t="shared" si="0"/>
        <v>2610592.3315670346</v>
      </c>
      <c r="E31" s="39">
        <f t="shared" si="1"/>
        <v>480999.48993709189</v>
      </c>
      <c r="G31" s="162">
        <f t="shared" si="2"/>
        <v>0</v>
      </c>
      <c r="H31" s="220">
        <f t="shared" si="3"/>
        <v>480999.48993709189</v>
      </c>
    </row>
    <row r="32" spans="1:8" x14ac:dyDescent="0.25">
      <c r="A32" s="366">
        <v>2043</v>
      </c>
      <c r="B32" s="363">
        <v>0</v>
      </c>
      <c r="C32" s="362">
        <f>'Project Costs'!$P$19</f>
        <v>2610592.3315670346</v>
      </c>
      <c r="D32" s="38">
        <f t="shared" si="0"/>
        <v>2610592.3315670346</v>
      </c>
      <c r="E32" s="39">
        <f t="shared" si="1"/>
        <v>449532.23358606722</v>
      </c>
      <c r="G32" s="162">
        <f t="shared" si="2"/>
        <v>0</v>
      </c>
      <c r="H32" s="220">
        <f t="shared" si="3"/>
        <v>449532.23358606722</v>
      </c>
    </row>
    <row r="33" spans="1:9" x14ac:dyDescent="0.25">
      <c r="A33" s="366">
        <v>2044</v>
      </c>
      <c r="B33" s="363">
        <v>0</v>
      </c>
      <c r="C33" s="362">
        <f>'Project Costs'!$P$19</f>
        <v>2610592.3315670346</v>
      </c>
      <c r="D33" s="38">
        <f t="shared" si="0"/>
        <v>2610592.3315670346</v>
      </c>
      <c r="E33" s="39">
        <f t="shared" si="1"/>
        <v>420123.58279071696</v>
      </c>
      <c r="G33" s="162">
        <f t="shared" si="2"/>
        <v>0</v>
      </c>
      <c r="H33" s="220">
        <f t="shared" si="3"/>
        <v>420123.58279071696</v>
      </c>
    </row>
    <row r="34" spans="1:9" x14ac:dyDescent="0.25">
      <c r="A34" s="366">
        <v>2045</v>
      </c>
      <c r="B34" s="363">
        <v>0</v>
      </c>
      <c r="C34" s="362">
        <f>'Project Costs'!$P$19</f>
        <v>2610592.3315670346</v>
      </c>
      <c r="D34" s="38">
        <f t="shared" si="0"/>
        <v>2610592.3315670346</v>
      </c>
      <c r="E34" s="39">
        <f t="shared" si="1"/>
        <v>392638.86242123088</v>
      </c>
      <c r="G34" s="162">
        <f t="shared" si="2"/>
        <v>0</v>
      </c>
      <c r="H34" s="220">
        <f t="shared" si="3"/>
        <v>392638.86242123088</v>
      </c>
    </row>
    <row r="35" spans="1:9" x14ac:dyDescent="0.25">
      <c r="A35" s="366">
        <v>2046</v>
      </c>
      <c r="B35" s="363">
        <v>0</v>
      </c>
      <c r="C35" s="362">
        <f>'Project Costs'!$P$19</f>
        <v>2610592.3315670346</v>
      </c>
      <c r="D35" s="38">
        <f t="shared" si="0"/>
        <v>2610592.3315670346</v>
      </c>
      <c r="E35" s="39">
        <f t="shared" si="1"/>
        <v>366952.20787030918</v>
      </c>
      <c r="G35" s="162">
        <f t="shared" si="2"/>
        <v>0</v>
      </c>
      <c r="H35" s="220">
        <f t="shared" si="3"/>
        <v>366952.20787030918</v>
      </c>
    </row>
    <row r="36" spans="1:9" x14ac:dyDescent="0.25">
      <c r="A36" s="366">
        <v>2047</v>
      </c>
      <c r="B36" s="363">
        <v>0</v>
      </c>
      <c r="C36" s="362">
        <f>'Project Costs'!$P$19</f>
        <v>2610592.3315670346</v>
      </c>
      <c r="D36" s="38">
        <f t="shared" si="0"/>
        <v>2610592.3315670346</v>
      </c>
      <c r="E36" s="39">
        <f t="shared" si="1"/>
        <v>342945.9886638404</v>
      </c>
      <c r="G36" s="162">
        <f t="shared" si="2"/>
        <v>0</v>
      </c>
      <c r="H36" s="220">
        <f t="shared" si="3"/>
        <v>342945.9886638404</v>
      </c>
    </row>
    <row r="37" spans="1:9" x14ac:dyDescent="0.25">
      <c r="A37" s="366">
        <v>2048</v>
      </c>
      <c r="B37" s="363">
        <v>0</v>
      </c>
      <c r="C37" s="362">
        <f>'Project Costs'!$P$19</f>
        <v>2610592.3315670346</v>
      </c>
      <c r="D37" s="38">
        <f t="shared" si="0"/>
        <v>2610592.3315670346</v>
      </c>
      <c r="E37" s="39">
        <f t="shared" si="1"/>
        <v>320510.26977929001</v>
      </c>
      <c r="G37" s="162">
        <f t="shared" si="2"/>
        <v>0</v>
      </c>
      <c r="H37" s="220">
        <f t="shared" si="3"/>
        <v>320510.26977929001</v>
      </c>
    </row>
    <row r="38" spans="1:9" x14ac:dyDescent="0.25">
      <c r="A38" s="366">
        <v>2049</v>
      </c>
      <c r="B38" s="363">
        <v>0</v>
      </c>
      <c r="C38" s="362">
        <f>'Project Costs'!$P$19</f>
        <v>2610592.3315670346</v>
      </c>
      <c r="D38" s="38">
        <f t="shared" si="0"/>
        <v>2610592.3315670346</v>
      </c>
      <c r="E38" s="39">
        <f t="shared" si="1"/>
        <v>299542.30820494401</v>
      </c>
      <c r="G38" s="162">
        <f t="shared" si="2"/>
        <v>0</v>
      </c>
      <c r="H38" s="220">
        <f t="shared" si="3"/>
        <v>299542.30820494401</v>
      </c>
    </row>
    <row r="39" spans="1:9" x14ac:dyDescent="0.25">
      <c r="A39" s="366">
        <v>2050</v>
      </c>
      <c r="B39" s="363">
        <v>0</v>
      </c>
      <c r="C39" s="362">
        <f>'Project Costs'!$P$19</f>
        <v>2610592.3315670346</v>
      </c>
      <c r="D39" s="38">
        <f t="shared" si="0"/>
        <v>2610592.3315670346</v>
      </c>
      <c r="E39" s="39">
        <f t="shared" si="1"/>
        <v>279946.08243452705</v>
      </c>
      <c r="G39" s="162">
        <f t="shared" si="2"/>
        <v>0</v>
      </c>
      <c r="H39" s="220">
        <f t="shared" si="3"/>
        <v>279946.08243452705</v>
      </c>
    </row>
    <row r="40" spans="1:9" x14ac:dyDescent="0.25">
      <c r="A40" s="366">
        <v>2051</v>
      </c>
      <c r="B40" s="363">
        <v>0</v>
      </c>
      <c r="C40" s="362">
        <f>'Project Costs'!$P$19</f>
        <v>2610592.3315670346</v>
      </c>
      <c r="D40" s="38">
        <f>B40+C40</f>
        <v>2610592.3315670346</v>
      </c>
      <c r="E40" s="39">
        <f t="shared" si="1"/>
        <v>261631.85274254868</v>
      </c>
      <c r="G40" s="162">
        <f t="shared" si="2"/>
        <v>0</v>
      </c>
      <c r="H40" s="220">
        <f t="shared" si="3"/>
        <v>261631.85274254868</v>
      </c>
    </row>
    <row r="41" spans="1:9" x14ac:dyDescent="0.25">
      <c r="A41" s="366">
        <v>2052</v>
      </c>
      <c r="B41" s="363">
        <v>0</v>
      </c>
      <c r="C41" s="362">
        <f>'Project Costs'!$P$19</f>
        <v>2610592.3315670346</v>
      </c>
      <c r="D41" s="38">
        <f>B41+C41</f>
        <v>2610592.3315670346</v>
      </c>
      <c r="E41" s="39">
        <f t="shared" si="1"/>
        <v>244515.750226681</v>
      </c>
      <c r="G41" s="162">
        <f t="shared" si="2"/>
        <v>0</v>
      </c>
      <c r="H41" s="220">
        <f t="shared" si="3"/>
        <v>244515.750226681</v>
      </c>
    </row>
    <row r="42" spans="1:9" ht="15.75" thickBot="1" x14ac:dyDescent="0.3">
      <c r="A42" s="337" t="s">
        <v>1</v>
      </c>
      <c r="B42" s="365">
        <f>SUM(B3:B41)</f>
        <v>522118466.31340694</v>
      </c>
      <c r="C42" s="364">
        <f>SUM(C3:C41)</f>
        <v>78317769.947011039</v>
      </c>
      <c r="D42" s="338">
        <f>SUM(D3:D41)</f>
        <v>600436236.26041842</v>
      </c>
      <c r="E42" s="339">
        <f>SUM(E3:E41)</f>
        <v>464587817.08036226</v>
      </c>
      <c r="G42" s="419">
        <f>SUM(G3:G41)</f>
        <v>441490667.04540998</v>
      </c>
      <c r="H42" s="420">
        <f>SUM(H3:H41)</f>
        <v>23097150.034952302</v>
      </c>
      <c r="I42" s="59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03"/>
  <sheetViews>
    <sheetView zoomScale="70" zoomScaleNormal="70" workbookViewId="0">
      <selection activeCell="D47" sqref="D47"/>
    </sheetView>
  </sheetViews>
  <sheetFormatPr defaultColWidth="9.140625" defaultRowHeight="15" x14ac:dyDescent="0.25"/>
  <cols>
    <col min="1" max="1" width="2.85546875" style="59" customWidth="1"/>
    <col min="2" max="2" width="36.42578125" style="59" customWidth="1"/>
    <col min="3" max="3" width="27.42578125" style="59" customWidth="1"/>
    <col min="4" max="4" width="24.5703125" style="59" customWidth="1"/>
    <col min="5" max="5" width="20.5703125" style="59" customWidth="1"/>
    <col min="6" max="6" width="18" style="59" bestFit="1" customWidth="1"/>
    <col min="7" max="11" width="9.140625" style="59"/>
    <col min="12" max="12" width="36.5703125" style="59" customWidth="1"/>
    <col min="13" max="13" width="15.28515625" style="59" customWidth="1"/>
    <col min="14" max="14" width="18.5703125" style="59" customWidth="1"/>
    <col min="15" max="15" width="21" style="59" customWidth="1"/>
    <col min="16" max="16" width="20.140625" style="59" customWidth="1"/>
    <col min="17" max="16384" width="9.140625" style="59"/>
  </cols>
  <sheetData>
    <row r="1" spans="2:20" ht="15.75" thickBot="1" x14ac:dyDescent="0.3"/>
    <row r="2" spans="2:20" ht="26.25" customHeight="1" thickBot="1" x14ac:dyDescent="0.35">
      <c r="B2" s="20" t="s">
        <v>357</v>
      </c>
      <c r="C2" s="60"/>
      <c r="D2" s="60"/>
      <c r="E2" s="60"/>
      <c r="F2" s="60"/>
      <c r="G2" s="60"/>
      <c r="H2" s="60"/>
      <c r="I2" s="60"/>
      <c r="J2" s="61"/>
      <c r="L2" s="20" t="s">
        <v>88</v>
      </c>
      <c r="M2" s="60"/>
      <c r="N2" s="60"/>
      <c r="O2" s="60"/>
      <c r="P2" s="60"/>
      <c r="Q2" s="60"/>
      <c r="R2" s="60"/>
      <c r="S2" s="60"/>
      <c r="T2" s="61"/>
    </row>
    <row r="3" spans="2:20" ht="19.5" thickTop="1" x14ac:dyDescent="0.3">
      <c r="B3" s="21" t="s">
        <v>0</v>
      </c>
      <c r="C3" s="62"/>
      <c r="D3" s="62"/>
      <c r="E3" s="62"/>
      <c r="F3" s="62"/>
      <c r="G3" s="62"/>
      <c r="H3" s="62"/>
      <c r="I3" s="62"/>
      <c r="J3" s="63"/>
      <c r="L3" s="21" t="s">
        <v>83</v>
      </c>
      <c r="M3" s="62"/>
      <c r="N3" s="62"/>
      <c r="O3" s="62"/>
      <c r="P3" s="62"/>
      <c r="Q3" s="62"/>
      <c r="R3" s="62"/>
      <c r="S3" s="62"/>
      <c r="T3" s="63"/>
    </row>
    <row r="4" spans="2:20" ht="18.75" x14ac:dyDescent="0.3">
      <c r="B4" s="22"/>
      <c r="C4" s="62"/>
      <c r="D4" s="62"/>
      <c r="E4" s="62"/>
      <c r="F4" s="62"/>
      <c r="G4" s="62"/>
      <c r="H4" s="62"/>
      <c r="I4" s="62"/>
      <c r="J4" s="63"/>
      <c r="L4" s="21"/>
      <c r="M4" s="62"/>
      <c r="N4" s="62"/>
      <c r="O4" s="62"/>
      <c r="P4" s="62"/>
      <c r="Q4" s="62"/>
      <c r="R4" s="62"/>
      <c r="S4" s="62"/>
      <c r="T4" s="63"/>
    </row>
    <row r="5" spans="2:20" x14ac:dyDescent="0.25">
      <c r="B5" s="206" t="s">
        <v>24</v>
      </c>
      <c r="C5" s="62" t="s">
        <v>4</v>
      </c>
      <c r="D5" s="62" t="s">
        <v>5</v>
      </c>
      <c r="E5" s="85" t="s">
        <v>7</v>
      </c>
      <c r="F5" s="62"/>
      <c r="G5" s="62"/>
      <c r="H5" s="62"/>
      <c r="I5" s="62"/>
      <c r="J5" s="63"/>
      <c r="L5" s="22" t="s">
        <v>90</v>
      </c>
      <c r="M5" s="85" t="s">
        <v>345</v>
      </c>
      <c r="N5" s="85" t="s">
        <v>5</v>
      </c>
      <c r="O5" s="85" t="s">
        <v>345</v>
      </c>
      <c r="P5" s="85" t="s">
        <v>5</v>
      </c>
      <c r="Q5" s="62"/>
      <c r="R5" s="62"/>
      <c r="S5" s="62"/>
      <c r="T5" s="63"/>
    </row>
    <row r="6" spans="2:20" ht="31.5" customHeight="1" x14ac:dyDescent="0.25">
      <c r="B6" s="22"/>
      <c r="C6" s="207">
        <v>9600000</v>
      </c>
      <c r="D6" s="62" t="s">
        <v>6</v>
      </c>
      <c r="E6" s="340">
        <v>2017</v>
      </c>
      <c r="F6" s="62"/>
      <c r="G6" s="62"/>
      <c r="H6" s="62"/>
      <c r="I6" s="62"/>
      <c r="J6" s="63"/>
      <c r="L6" s="22"/>
      <c r="M6" s="378">
        <f>(0.0074+0.0096)/2</f>
        <v>8.5000000000000006E-3</v>
      </c>
      <c r="N6" s="62" t="s">
        <v>85</v>
      </c>
      <c r="O6" s="379">
        <f>(0.0005+0.0006)/2</f>
        <v>5.4999999999999992E-4</v>
      </c>
      <c r="P6" s="62" t="s">
        <v>126</v>
      </c>
      <c r="Q6" s="62"/>
      <c r="R6" s="62"/>
      <c r="S6" s="62"/>
      <c r="T6" s="63"/>
    </row>
    <row r="7" spans="2:20" x14ac:dyDescent="0.25">
      <c r="B7" s="22"/>
      <c r="C7" s="62"/>
      <c r="D7" s="62"/>
      <c r="E7" s="62"/>
      <c r="F7" s="62"/>
      <c r="G7" s="62"/>
      <c r="H7" s="62"/>
      <c r="I7" s="62"/>
      <c r="J7" s="63"/>
      <c r="L7" s="11" t="s">
        <v>44</v>
      </c>
      <c r="M7" s="453" t="s">
        <v>54</v>
      </c>
      <c r="N7" s="453"/>
      <c r="O7" s="453"/>
      <c r="P7" s="453"/>
      <c r="Q7" s="453"/>
      <c r="R7" s="453"/>
      <c r="S7" s="453"/>
      <c r="T7" s="454"/>
    </row>
    <row r="8" spans="2:20" x14ac:dyDescent="0.25">
      <c r="B8" s="206" t="s">
        <v>8</v>
      </c>
      <c r="C8" s="62" t="s">
        <v>11</v>
      </c>
      <c r="D8" s="62" t="s">
        <v>12</v>
      </c>
      <c r="E8" s="62" t="s">
        <v>13</v>
      </c>
      <c r="F8" s="62" t="s">
        <v>280</v>
      </c>
      <c r="G8" s="62"/>
      <c r="H8" s="62"/>
      <c r="I8" s="62"/>
      <c r="J8" s="63"/>
      <c r="L8" s="64"/>
      <c r="M8" s="65"/>
      <c r="N8" s="65"/>
      <c r="O8" s="65"/>
      <c r="P8" s="65"/>
      <c r="Q8" s="65"/>
      <c r="R8" s="65"/>
      <c r="S8" s="65"/>
      <c r="T8" s="66"/>
    </row>
    <row r="9" spans="2:20" ht="18.75" x14ac:dyDescent="0.3">
      <c r="B9" s="22"/>
      <c r="C9" s="62" t="s">
        <v>9</v>
      </c>
      <c r="D9" s="62" t="s">
        <v>18</v>
      </c>
      <c r="E9" s="62">
        <v>3.0000000000000001E-3</v>
      </c>
      <c r="F9" s="207">
        <v>28800</v>
      </c>
      <c r="G9" s="62"/>
      <c r="H9" s="62"/>
      <c r="I9" s="62"/>
      <c r="J9" s="63"/>
      <c r="L9" s="21" t="s">
        <v>84</v>
      </c>
      <c r="M9" s="62"/>
      <c r="N9" s="62"/>
      <c r="O9" s="62"/>
      <c r="P9" s="62"/>
      <c r="Q9" s="62"/>
      <c r="R9" s="62"/>
      <c r="S9" s="62"/>
      <c r="T9" s="63"/>
    </row>
    <row r="10" spans="2:20" ht="18.75" x14ac:dyDescent="0.3">
      <c r="B10" s="22"/>
      <c r="C10" s="62" t="s">
        <v>10</v>
      </c>
      <c r="D10" s="62" t="s">
        <v>19</v>
      </c>
      <c r="E10" s="62">
        <v>4.7E-2</v>
      </c>
      <c r="F10" s="207">
        <v>451200</v>
      </c>
      <c r="G10" s="62"/>
      <c r="H10" s="62"/>
      <c r="I10" s="62"/>
      <c r="J10" s="63"/>
      <c r="L10" s="21"/>
      <c r="M10" s="62"/>
      <c r="N10" s="62"/>
      <c r="O10" s="62"/>
      <c r="P10" s="62"/>
      <c r="Q10" s="62"/>
      <c r="R10" s="62"/>
      <c r="S10" s="62"/>
      <c r="T10" s="63"/>
    </row>
    <row r="11" spans="2:20" ht="25.5" customHeight="1" x14ac:dyDescent="0.25">
      <c r="B11" s="22"/>
      <c r="C11" s="62" t="s">
        <v>14</v>
      </c>
      <c r="D11" s="62" t="s">
        <v>20</v>
      </c>
      <c r="E11" s="62">
        <v>0.105</v>
      </c>
      <c r="F11" s="207">
        <v>1008000</v>
      </c>
      <c r="G11" s="62"/>
      <c r="H11" s="62"/>
      <c r="I11" s="62"/>
      <c r="J11" s="63"/>
      <c r="L11" s="22"/>
      <c r="M11" s="85" t="s">
        <v>344</v>
      </c>
      <c r="N11" s="85" t="s">
        <v>5</v>
      </c>
      <c r="O11" s="62"/>
      <c r="P11" s="62"/>
      <c r="Q11" s="62"/>
      <c r="R11" s="62"/>
      <c r="S11" s="62"/>
      <c r="T11" s="63"/>
    </row>
    <row r="12" spans="2:20" ht="15" customHeight="1" x14ac:dyDescent="0.25">
      <c r="B12" s="22"/>
      <c r="C12" s="62" t="s">
        <v>15</v>
      </c>
      <c r="D12" s="62" t="s">
        <v>21</v>
      </c>
      <c r="E12" s="62">
        <v>0.26600000000000001</v>
      </c>
      <c r="F12" s="207">
        <v>2553600</v>
      </c>
      <c r="G12" s="62"/>
      <c r="H12" s="62"/>
      <c r="I12" s="62"/>
      <c r="J12" s="63"/>
      <c r="L12" s="22" t="s">
        <v>91</v>
      </c>
      <c r="M12" s="377">
        <f>D34</f>
        <v>0.9</v>
      </c>
      <c r="N12" s="381" t="s">
        <v>86</v>
      </c>
      <c r="O12" s="380" t="s">
        <v>44</v>
      </c>
      <c r="P12" s="453" t="str">
        <f>B2</f>
        <v>Benefit-Cost Analysis Guidance for Discretionary Grant Programs - December 2018</v>
      </c>
      <c r="Q12" s="453"/>
      <c r="R12" s="453"/>
      <c r="S12" s="453"/>
      <c r="T12" s="454"/>
    </row>
    <row r="13" spans="2:20" x14ac:dyDescent="0.25">
      <c r="B13" s="22"/>
      <c r="C13" s="62" t="s">
        <v>16</v>
      </c>
      <c r="D13" s="62" t="s">
        <v>22</v>
      </c>
      <c r="E13" s="62">
        <v>0.59299999999999997</v>
      </c>
      <c r="F13" s="207">
        <v>5692800</v>
      </c>
      <c r="G13" s="62"/>
      <c r="H13" s="62"/>
      <c r="I13" s="62"/>
      <c r="J13" s="63"/>
      <c r="L13" s="22" t="s">
        <v>209</v>
      </c>
      <c r="M13" s="377">
        <f>(6.7+1.2+0.3+9.6)/1700*'Inflation Adjustment'!C18</f>
        <v>1.0795176470588235E-2</v>
      </c>
      <c r="N13" s="381" t="s">
        <v>215</v>
      </c>
      <c r="O13" s="380" t="s">
        <v>44</v>
      </c>
      <c r="P13" s="62" t="s">
        <v>270</v>
      </c>
      <c r="Q13" s="62"/>
      <c r="R13" s="62"/>
      <c r="S13" s="62"/>
      <c r="T13" s="63"/>
    </row>
    <row r="14" spans="2:20" ht="15" customHeight="1" x14ac:dyDescent="0.25">
      <c r="B14" s="22"/>
      <c r="C14" s="62" t="s">
        <v>17</v>
      </c>
      <c r="D14" s="62" t="s">
        <v>23</v>
      </c>
      <c r="E14" s="62">
        <v>1</v>
      </c>
      <c r="F14" s="207">
        <v>9600000</v>
      </c>
      <c r="G14" s="62"/>
      <c r="H14" s="62"/>
      <c r="I14" s="62"/>
      <c r="J14" s="63"/>
      <c r="L14" s="11"/>
      <c r="M14" s="67"/>
      <c r="N14" s="67"/>
      <c r="O14" s="67"/>
      <c r="P14" s="67"/>
      <c r="Q14" s="67"/>
      <c r="R14" s="67"/>
      <c r="S14" s="67"/>
      <c r="T14" s="68"/>
    </row>
    <row r="15" spans="2:20" x14ac:dyDescent="0.25">
      <c r="B15" s="22"/>
      <c r="C15" s="62"/>
      <c r="D15" s="62"/>
      <c r="E15" s="62"/>
      <c r="F15" s="62"/>
      <c r="G15" s="62"/>
      <c r="H15" s="62"/>
      <c r="I15" s="62"/>
      <c r="J15" s="63"/>
      <c r="L15" s="11"/>
      <c r="M15" s="62"/>
      <c r="N15" s="411"/>
      <c r="O15" s="411"/>
      <c r="P15" s="411"/>
      <c r="Q15" s="411"/>
      <c r="R15" s="411"/>
      <c r="S15" s="411"/>
      <c r="T15" s="412"/>
    </row>
    <row r="16" spans="2:20" x14ac:dyDescent="0.25">
      <c r="B16" s="206" t="s">
        <v>25</v>
      </c>
      <c r="C16" s="62" t="s">
        <v>4</v>
      </c>
      <c r="D16" s="62" t="s">
        <v>5</v>
      </c>
      <c r="E16" s="85" t="s">
        <v>7</v>
      </c>
      <c r="F16" s="62"/>
      <c r="G16" s="62"/>
      <c r="H16" s="62"/>
      <c r="I16" s="62"/>
      <c r="J16" s="63"/>
      <c r="L16" s="22" t="s">
        <v>192</v>
      </c>
      <c r="M16" s="85" t="s">
        <v>344</v>
      </c>
      <c r="N16" s="85" t="s">
        <v>5</v>
      </c>
      <c r="O16" s="85" t="s">
        <v>344</v>
      </c>
      <c r="P16" s="85" t="s">
        <v>5</v>
      </c>
      <c r="Q16" s="62"/>
      <c r="R16" s="62"/>
      <c r="S16" s="62"/>
      <c r="T16" s="63"/>
    </row>
    <row r="17" spans="2:20" x14ac:dyDescent="0.25">
      <c r="B17" s="64"/>
      <c r="C17" s="290">
        <v>4300</v>
      </c>
      <c r="D17" s="65" t="s">
        <v>26</v>
      </c>
      <c r="E17" s="340">
        <v>2017</v>
      </c>
      <c r="F17" s="65"/>
      <c r="G17" s="65"/>
      <c r="H17" s="65"/>
      <c r="I17" s="65"/>
      <c r="J17" s="66"/>
      <c r="L17" s="22" t="s">
        <v>92</v>
      </c>
      <c r="M17" s="225">
        <f>D27</f>
        <v>28.6</v>
      </c>
      <c r="N17" s="62" t="s">
        <v>89</v>
      </c>
      <c r="O17" s="225">
        <f>M17</f>
        <v>28.6</v>
      </c>
      <c r="P17" s="62" t="s">
        <v>89</v>
      </c>
      <c r="Q17" s="62"/>
      <c r="R17" s="62"/>
      <c r="S17" s="62"/>
      <c r="T17" s="63"/>
    </row>
    <row r="18" spans="2:20" ht="18.75" x14ac:dyDescent="0.3">
      <c r="B18" s="21" t="s">
        <v>84</v>
      </c>
      <c r="C18" s="69"/>
      <c r="D18" s="69"/>
      <c r="E18" s="69"/>
      <c r="F18" s="69"/>
      <c r="G18" s="69"/>
      <c r="H18" s="69"/>
      <c r="I18" s="69"/>
      <c r="J18" s="70"/>
      <c r="L18" s="22" t="s">
        <v>193</v>
      </c>
      <c r="M18" s="225">
        <f>D30</f>
        <v>44.9</v>
      </c>
      <c r="N18" s="62" t="s">
        <v>89</v>
      </c>
      <c r="O18" s="225">
        <f>M18</f>
        <v>44.9</v>
      </c>
      <c r="P18" s="62" t="s">
        <v>89</v>
      </c>
      <c r="Q18" s="62"/>
      <c r="R18" s="62"/>
      <c r="S18" s="62"/>
      <c r="T18" s="63"/>
    </row>
    <row r="19" spans="2:20" ht="28.5" customHeight="1" x14ac:dyDescent="0.25">
      <c r="B19" s="22"/>
      <c r="C19" s="62"/>
      <c r="D19" s="62"/>
      <c r="E19" s="62"/>
      <c r="F19" s="62"/>
      <c r="G19" s="62"/>
      <c r="H19" s="62"/>
      <c r="I19" s="62"/>
      <c r="J19" s="63"/>
      <c r="L19" s="11" t="s">
        <v>44</v>
      </c>
      <c r="M19" s="62" t="str">
        <f>B2</f>
        <v>Benefit-Cost Analysis Guidance for Discretionary Grant Programs - December 2018</v>
      </c>
      <c r="N19" s="62"/>
      <c r="O19" s="62"/>
      <c r="P19" s="62"/>
      <c r="Q19" s="62"/>
      <c r="R19" s="62"/>
      <c r="S19" s="62"/>
      <c r="T19" s="63"/>
    </row>
    <row r="20" spans="2:20" x14ac:dyDescent="0.25">
      <c r="B20" s="22" t="s">
        <v>27</v>
      </c>
      <c r="C20" s="62" t="s">
        <v>341</v>
      </c>
      <c r="D20" s="62"/>
      <c r="E20" s="62"/>
      <c r="F20" s="62"/>
      <c r="G20" s="62"/>
      <c r="H20" s="62"/>
      <c r="I20" s="62"/>
      <c r="J20" s="63"/>
      <c r="L20" s="64"/>
      <c r="M20" s="65"/>
      <c r="N20" s="65"/>
      <c r="O20" s="65"/>
      <c r="P20" s="65"/>
      <c r="Q20" s="65"/>
      <c r="R20" s="65"/>
      <c r="S20" s="65"/>
      <c r="T20" s="66"/>
    </row>
    <row r="21" spans="2:20" ht="30.75" x14ac:dyDescent="0.3">
      <c r="B21" s="22"/>
      <c r="C21" s="71" t="s">
        <v>28</v>
      </c>
      <c r="D21" s="221" t="s">
        <v>37</v>
      </c>
      <c r="E21" s="221" t="s">
        <v>29</v>
      </c>
      <c r="F21" s="62"/>
      <c r="G21" s="62"/>
      <c r="H21" s="62"/>
      <c r="I21" s="62"/>
      <c r="J21" s="63"/>
      <c r="L21" s="21" t="s">
        <v>211</v>
      </c>
      <c r="M21" s="62"/>
      <c r="N21" s="62"/>
      <c r="O21" s="62"/>
      <c r="P21" s="62"/>
      <c r="Q21" s="62"/>
      <c r="R21" s="62"/>
      <c r="S21" s="62"/>
      <c r="T21" s="63"/>
    </row>
    <row r="22" spans="2:20" ht="18.75" x14ac:dyDescent="0.3">
      <c r="B22" s="22"/>
      <c r="C22" s="1" t="s">
        <v>30</v>
      </c>
      <c r="D22" s="62"/>
      <c r="E22" s="62"/>
      <c r="F22" s="62"/>
      <c r="G22" s="62"/>
      <c r="H22" s="62"/>
      <c r="I22" s="62"/>
      <c r="J22" s="63"/>
      <c r="L22" s="21"/>
      <c r="M22" s="62"/>
      <c r="N22" s="62"/>
      <c r="O22" s="62"/>
      <c r="P22" s="62"/>
      <c r="Q22" s="62"/>
      <c r="R22" s="62"/>
      <c r="S22" s="62"/>
      <c r="T22" s="63"/>
    </row>
    <row r="23" spans="2:20" x14ac:dyDescent="0.25">
      <c r="B23" s="22"/>
      <c r="C23" s="62" t="s">
        <v>31</v>
      </c>
      <c r="D23" s="225">
        <v>14.8</v>
      </c>
      <c r="E23" s="62"/>
      <c r="F23" s="62"/>
      <c r="G23" s="62"/>
      <c r="H23" s="62"/>
      <c r="I23" s="62"/>
      <c r="J23" s="63"/>
      <c r="L23" s="22"/>
      <c r="M23" s="85" t="s">
        <v>4</v>
      </c>
      <c r="N23" s="85" t="s">
        <v>5</v>
      </c>
      <c r="O23" s="62"/>
      <c r="P23" s="62"/>
      <c r="Q23" s="62"/>
      <c r="R23" s="62"/>
      <c r="S23" s="62"/>
      <c r="T23" s="63"/>
    </row>
    <row r="24" spans="2:20" x14ac:dyDescent="0.25">
      <c r="B24" s="22"/>
      <c r="C24" s="62" t="s">
        <v>32</v>
      </c>
      <c r="D24" s="225">
        <v>26.5</v>
      </c>
      <c r="E24" s="62"/>
      <c r="F24" s="62"/>
      <c r="G24" s="62"/>
      <c r="H24" s="62"/>
      <c r="I24" s="62"/>
      <c r="J24" s="63"/>
      <c r="L24" s="22" t="s">
        <v>93</v>
      </c>
      <c r="M24" s="208">
        <f>1000/6.5</f>
        <v>153.84615384615384</v>
      </c>
      <c r="N24" s="381" t="s">
        <v>51</v>
      </c>
      <c r="O24" s="380" t="s">
        <v>44</v>
      </c>
      <c r="P24" s="453" t="s">
        <v>277</v>
      </c>
      <c r="Q24" s="453"/>
      <c r="R24" s="453"/>
      <c r="S24" s="453"/>
      <c r="T24" s="454"/>
    </row>
    <row r="25" spans="2:20" ht="15" customHeight="1" x14ac:dyDescent="0.25">
      <c r="B25" s="22"/>
      <c r="C25" s="62" t="s">
        <v>82</v>
      </c>
      <c r="D25" s="225">
        <v>16.100000000000001</v>
      </c>
      <c r="E25" s="62"/>
      <c r="F25" s="62"/>
      <c r="G25" s="62"/>
      <c r="H25" s="62"/>
      <c r="I25" s="62"/>
      <c r="J25" s="63"/>
      <c r="L25" s="22" t="s">
        <v>196</v>
      </c>
      <c r="M25" s="208">
        <v>473</v>
      </c>
      <c r="N25" s="381" t="s">
        <v>197</v>
      </c>
      <c r="O25" s="380" t="s">
        <v>44</v>
      </c>
      <c r="P25" s="453" t="s">
        <v>270</v>
      </c>
      <c r="Q25" s="453"/>
      <c r="R25" s="453"/>
      <c r="S25" s="453"/>
      <c r="T25" s="454"/>
    </row>
    <row r="26" spans="2:20" x14ac:dyDescent="0.25">
      <c r="B26" s="22"/>
      <c r="C26" s="62"/>
      <c r="D26" s="62"/>
      <c r="E26" s="62"/>
      <c r="F26" s="62"/>
      <c r="G26" s="62"/>
      <c r="H26" s="62"/>
      <c r="I26" s="62"/>
      <c r="J26" s="63"/>
      <c r="L26" s="11"/>
      <c r="M26" s="67"/>
      <c r="N26" s="67"/>
      <c r="O26" s="67"/>
      <c r="P26" s="67"/>
      <c r="Q26" s="67"/>
      <c r="R26" s="67"/>
      <c r="S26" s="67"/>
      <c r="T26" s="68"/>
    </row>
    <row r="27" spans="2:20" x14ac:dyDescent="0.25">
      <c r="B27" s="22"/>
      <c r="C27" s="62" t="s">
        <v>33</v>
      </c>
      <c r="D27" s="225">
        <v>28.6</v>
      </c>
      <c r="E27" s="62"/>
      <c r="F27" s="62"/>
      <c r="G27" s="62"/>
      <c r="H27" s="62"/>
      <c r="I27" s="62"/>
      <c r="J27" s="63"/>
      <c r="L27" s="22"/>
      <c r="M27" s="62"/>
      <c r="N27" s="62"/>
      <c r="O27" s="62"/>
      <c r="P27" s="62"/>
      <c r="Q27" s="62"/>
      <c r="R27" s="62"/>
      <c r="S27" s="62"/>
      <c r="T27" s="63"/>
    </row>
    <row r="28" spans="2:20" x14ac:dyDescent="0.25">
      <c r="B28" s="22"/>
      <c r="C28" s="62" t="s">
        <v>34</v>
      </c>
      <c r="D28" s="225">
        <v>30</v>
      </c>
      <c r="E28" s="62"/>
      <c r="F28" s="62"/>
      <c r="G28" s="62"/>
      <c r="H28" s="62"/>
      <c r="I28" s="62"/>
      <c r="J28" s="63"/>
      <c r="L28" s="22" t="s">
        <v>80</v>
      </c>
      <c r="M28" s="62" t="s">
        <v>64</v>
      </c>
      <c r="N28" s="62"/>
      <c r="O28" s="62"/>
      <c r="P28" s="62"/>
      <c r="Q28" s="62"/>
      <c r="R28" s="62"/>
      <c r="S28" s="62"/>
      <c r="T28" s="63"/>
    </row>
    <row r="29" spans="2:20" x14ac:dyDescent="0.25">
      <c r="B29" s="22"/>
      <c r="C29" s="62" t="s">
        <v>35</v>
      </c>
      <c r="D29" s="225">
        <v>48.9</v>
      </c>
      <c r="E29" s="62"/>
      <c r="F29" s="62"/>
      <c r="G29" s="62"/>
      <c r="H29" s="62"/>
      <c r="I29" s="62"/>
      <c r="J29" s="63"/>
      <c r="L29" s="11" t="s">
        <v>44</v>
      </c>
      <c r="M29" s="62" t="str">
        <f>'Emissions - Truck'!C77</f>
        <v>California Life-Cycle Benefit/Cost Analysis Model (Version 6.2), Caltrans, 2019</v>
      </c>
      <c r="N29" s="62"/>
      <c r="O29" s="62"/>
      <c r="P29" s="62"/>
      <c r="Q29" s="62"/>
      <c r="R29" s="62"/>
      <c r="S29" s="62"/>
      <c r="T29" s="63"/>
    </row>
    <row r="30" spans="2:20" x14ac:dyDescent="0.25">
      <c r="B30" s="22"/>
      <c r="C30" s="62" t="s">
        <v>36</v>
      </c>
      <c r="D30" s="225">
        <v>44.9</v>
      </c>
      <c r="E30" s="62"/>
      <c r="F30" s="62"/>
      <c r="G30" s="62"/>
      <c r="H30" s="62"/>
      <c r="I30" s="62"/>
      <c r="J30" s="63"/>
      <c r="L30" s="22"/>
      <c r="M30" s="62"/>
      <c r="N30" s="62"/>
      <c r="O30" s="62"/>
      <c r="P30" s="62"/>
      <c r="Q30" s="62"/>
      <c r="R30" s="62"/>
      <c r="S30" s="62"/>
      <c r="T30" s="63"/>
    </row>
    <row r="31" spans="2:20" x14ac:dyDescent="0.25">
      <c r="B31" s="22"/>
      <c r="C31" s="62"/>
      <c r="D31" s="225"/>
      <c r="E31" s="62"/>
      <c r="F31" s="62"/>
      <c r="G31" s="62"/>
      <c r="H31" s="62"/>
      <c r="I31" s="62"/>
      <c r="J31" s="63"/>
      <c r="L31" s="22" t="s">
        <v>38</v>
      </c>
      <c r="M31" s="62" t="s">
        <v>39</v>
      </c>
      <c r="N31" s="85" t="s">
        <v>343</v>
      </c>
      <c r="O31" s="85" t="s">
        <v>342</v>
      </c>
      <c r="P31" s="62"/>
      <c r="Q31" s="62"/>
      <c r="R31" s="62"/>
      <c r="S31" s="62"/>
      <c r="T31" s="63"/>
    </row>
    <row r="32" spans="2:20" x14ac:dyDescent="0.25">
      <c r="B32" s="22"/>
      <c r="C32" s="62"/>
      <c r="D32" s="225"/>
      <c r="E32" s="62"/>
      <c r="F32" s="62"/>
      <c r="G32" s="62"/>
      <c r="H32" s="62"/>
      <c r="I32" s="62"/>
      <c r="J32" s="63"/>
      <c r="L32" s="22"/>
      <c r="M32" s="62" t="s">
        <v>40</v>
      </c>
      <c r="N32" s="62" t="s">
        <v>81</v>
      </c>
      <c r="O32" s="62" t="s">
        <v>81</v>
      </c>
      <c r="P32" s="62"/>
      <c r="Q32" s="62"/>
      <c r="R32" s="62"/>
      <c r="S32" s="62"/>
      <c r="T32" s="63"/>
    </row>
    <row r="33" spans="2:20" x14ac:dyDescent="0.25">
      <c r="B33" s="22" t="s">
        <v>339</v>
      </c>
      <c r="C33" s="62"/>
      <c r="D33" s="225"/>
      <c r="E33" s="62"/>
      <c r="F33" s="62"/>
      <c r="G33" s="62"/>
      <c r="H33" s="62"/>
      <c r="I33" s="62"/>
      <c r="J33" s="63"/>
      <c r="L33" s="22"/>
      <c r="M33" s="62" t="s">
        <v>41</v>
      </c>
      <c r="N33" s="207">
        <f>D41</f>
        <v>2000</v>
      </c>
      <c r="O33" s="207">
        <f>E41</f>
        <v>2203</v>
      </c>
      <c r="P33" s="62"/>
      <c r="Q33" s="62"/>
      <c r="R33" s="62"/>
      <c r="S33" s="62"/>
      <c r="T33" s="63"/>
    </row>
    <row r="34" spans="2:20" x14ac:dyDescent="0.25">
      <c r="B34" s="22"/>
      <c r="C34" s="62" t="s">
        <v>340</v>
      </c>
      <c r="D34" s="225">
        <v>0.9</v>
      </c>
      <c r="E34" s="62"/>
      <c r="F34" s="62"/>
      <c r="G34" s="62"/>
      <c r="H34" s="62"/>
      <c r="I34" s="62"/>
      <c r="J34" s="63"/>
      <c r="L34" s="22"/>
      <c r="M34" s="62" t="s">
        <v>42</v>
      </c>
      <c r="N34" s="207">
        <f t="shared" ref="N34:O34" si="0">D42</f>
        <v>8300</v>
      </c>
      <c r="O34" s="207">
        <f t="shared" si="0"/>
        <v>9142.4499999999989</v>
      </c>
      <c r="P34" s="62"/>
      <c r="Q34" s="62"/>
      <c r="R34" s="62"/>
      <c r="S34" s="62"/>
      <c r="T34" s="63"/>
    </row>
    <row r="35" spans="2:20" x14ac:dyDescent="0.25">
      <c r="B35" s="22"/>
      <c r="C35" s="62"/>
      <c r="D35" s="225"/>
      <c r="E35" s="62"/>
      <c r="F35" s="62"/>
      <c r="G35" s="62"/>
      <c r="H35" s="62"/>
      <c r="I35" s="62"/>
      <c r="J35" s="63"/>
      <c r="L35" s="22"/>
      <c r="M35" s="62" t="s">
        <v>369</v>
      </c>
      <c r="N35" s="207">
        <f t="shared" ref="N35:O35" si="1">D43</f>
        <v>377800</v>
      </c>
      <c r="O35" s="207">
        <f t="shared" si="1"/>
        <v>416146.69999999995</v>
      </c>
      <c r="P35" s="62"/>
      <c r="Q35" s="62"/>
      <c r="R35" s="62"/>
      <c r="S35" s="62"/>
      <c r="T35" s="63"/>
    </row>
    <row r="36" spans="2:20" x14ac:dyDescent="0.25">
      <c r="B36" s="64"/>
      <c r="C36" s="65"/>
      <c r="D36" s="65"/>
      <c r="E36" s="65"/>
      <c r="F36" s="65"/>
      <c r="G36" s="65"/>
      <c r="H36" s="65"/>
      <c r="I36" s="65"/>
      <c r="J36" s="66"/>
      <c r="L36" s="22"/>
      <c r="M36" s="62" t="s">
        <v>45</v>
      </c>
      <c r="N36" s="207">
        <f t="shared" ref="N36:O36" si="2">D44</f>
        <v>48900</v>
      </c>
      <c r="O36" s="207">
        <f t="shared" si="2"/>
        <v>53863.35</v>
      </c>
      <c r="P36" s="62"/>
      <c r="Q36" s="62"/>
      <c r="R36" s="62"/>
      <c r="S36" s="62"/>
      <c r="T36" s="63"/>
    </row>
    <row r="37" spans="2:20" ht="18.75" x14ac:dyDescent="0.3">
      <c r="B37" s="23" t="s">
        <v>352</v>
      </c>
      <c r="C37" s="69"/>
      <c r="D37" s="69"/>
      <c r="E37" s="69"/>
      <c r="F37" s="69"/>
      <c r="G37" s="69"/>
      <c r="H37" s="69"/>
      <c r="I37" s="69"/>
      <c r="J37" s="70"/>
      <c r="L37" s="11" t="s">
        <v>44</v>
      </c>
      <c r="M37" s="62" t="str">
        <f>B2</f>
        <v>Benefit-Cost Analysis Guidance for Discretionary Grant Programs - December 2018</v>
      </c>
      <c r="N37" s="62"/>
      <c r="O37" s="62"/>
      <c r="P37" s="62"/>
      <c r="Q37" s="62"/>
      <c r="R37" s="62"/>
      <c r="S37" s="62"/>
      <c r="T37" s="63"/>
    </row>
    <row r="38" spans="2:20" x14ac:dyDescent="0.25">
      <c r="B38" s="22"/>
      <c r="C38" s="62"/>
      <c r="D38" s="62"/>
      <c r="E38" s="62"/>
      <c r="F38" s="62"/>
      <c r="G38" s="62"/>
      <c r="H38" s="62"/>
      <c r="I38" s="62"/>
      <c r="J38" s="63"/>
      <c r="L38" s="22"/>
      <c r="M38" s="62"/>
      <c r="N38" s="62"/>
      <c r="O38" s="62"/>
      <c r="P38" s="62"/>
      <c r="Q38" s="62"/>
      <c r="R38" s="62"/>
      <c r="S38" s="62"/>
      <c r="T38" s="63"/>
    </row>
    <row r="39" spans="2:20" x14ac:dyDescent="0.25">
      <c r="B39" s="206" t="s">
        <v>38</v>
      </c>
      <c r="C39" s="62" t="s">
        <v>39</v>
      </c>
      <c r="D39" s="62" t="s">
        <v>343</v>
      </c>
      <c r="E39" s="62" t="s">
        <v>342</v>
      </c>
      <c r="F39" s="62"/>
      <c r="G39" s="62"/>
      <c r="H39" s="62"/>
      <c r="I39" s="62"/>
      <c r="J39" s="63"/>
      <c r="L39" s="22" t="s">
        <v>43</v>
      </c>
      <c r="M39" s="85" t="s">
        <v>2</v>
      </c>
      <c r="N39" s="85" t="s">
        <v>351</v>
      </c>
      <c r="O39" s="62"/>
      <c r="P39" s="62"/>
      <c r="Q39" s="62"/>
      <c r="R39" s="62"/>
      <c r="S39" s="62"/>
      <c r="T39" s="63"/>
    </row>
    <row r="40" spans="2:20" x14ac:dyDescent="0.25">
      <c r="B40" s="22"/>
      <c r="C40" s="62" t="s">
        <v>40</v>
      </c>
      <c r="D40" s="62" t="s">
        <v>81</v>
      </c>
      <c r="E40" s="62" t="s">
        <v>81</v>
      </c>
      <c r="F40" s="62"/>
      <c r="G40" s="62"/>
      <c r="H40" s="62"/>
      <c r="I40" s="62"/>
      <c r="J40" s="63"/>
      <c r="L40" s="22"/>
      <c r="M40" s="62">
        <v>2010</v>
      </c>
      <c r="N40" s="209">
        <f>D47</f>
        <v>0</v>
      </c>
      <c r="O40" s="62"/>
      <c r="P40" s="62"/>
      <c r="Q40" s="62"/>
      <c r="R40" s="62"/>
      <c r="S40" s="62"/>
      <c r="T40" s="63"/>
    </row>
    <row r="41" spans="2:20" x14ac:dyDescent="0.25">
      <c r="B41" s="22"/>
      <c r="C41" s="62" t="s">
        <v>41</v>
      </c>
      <c r="D41" s="207">
        <v>2000</v>
      </c>
      <c r="E41" s="207">
        <f>D41*1.1015</f>
        <v>2203</v>
      </c>
      <c r="F41" s="62"/>
      <c r="G41" s="62"/>
      <c r="H41" s="62"/>
      <c r="I41" s="62"/>
      <c r="J41" s="63"/>
      <c r="L41" s="22"/>
      <c r="M41" s="62">
        <v>2011</v>
      </c>
      <c r="N41" s="209">
        <f t="shared" ref="N41:N82" si="3">D48</f>
        <v>0</v>
      </c>
      <c r="O41" s="62"/>
      <c r="P41" s="62"/>
      <c r="Q41" s="62"/>
      <c r="R41" s="62"/>
      <c r="S41" s="62"/>
      <c r="T41" s="63"/>
    </row>
    <row r="42" spans="2:20" x14ac:dyDescent="0.25">
      <c r="B42" s="22"/>
      <c r="C42" s="62" t="s">
        <v>42</v>
      </c>
      <c r="D42" s="207">
        <v>8300</v>
      </c>
      <c r="E42" s="207">
        <f>D42*1.1015</f>
        <v>9142.4499999999989</v>
      </c>
      <c r="F42" s="62"/>
      <c r="G42" s="62"/>
      <c r="H42" s="62"/>
      <c r="I42" s="62"/>
      <c r="J42" s="63"/>
      <c r="L42" s="22"/>
      <c r="M42" s="62">
        <v>2012</v>
      </c>
      <c r="N42" s="209">
        <f t="shared" si="3"/>
        <v>0</v>
      </c>
      <c r="O42" s="62"/>
      <c r="P42" s="62"/>
      <c r="Q42" s="62"/>
      <c r="R42" s="62"/>
      <c r="S42" s="62"/>
      <c r="T42" s="63"/>
    </row>
    <row r="43" spans="2:20" x14ac:dyDescent="0.25">
      <c r="B43" s="22"/>
      <c r="C43" s="62" t="s">
        <v>369</v>
      </c>
      <c r="D43" s="207">
        <v>377800</v>
      </c>
      <c r="E43" s="207">
        <f>D43*1.1015</f>
        <v>416146.69999999995</v>
      </c>
      <c r="F43" s="62"/>
      <c r="G43" s="62"/>
      <c r="H43" s="62"/>
      <c r="I43" s="62"/>
      <c r="J43" s="63"/>
      <c r="L43" s="22"/>
      <c r="M43" s="62">
        <v>2013</v>
      </c>
      <c r="N43" s="209">
        <f t="shared" si="3"/>
        <v>0</v>
      </c>
      <c r="O43" s="62"/>
      <c r="P43" s="62"/>
      <c r="Q43" s="62"/>
      <c r="R43" s="62"/>
      <c r="S43" s="62"/>
      <c r="T43" s="63"/>
    </row>
    <row r="44" spans="2:20" x14ac:dyDescent="0.25">
      <c r="B44" s="22"/>
      <c r="C44" s="62" t="s">
        <v>45</v>
      </c>
      <c r="D44" s="207">
        <v>48900</v>
      </c>
      <c r="E44" s="207">
        <f>D44*1.1015</f>
        <v>53863.35</v>
      </c>
      <c r="F44" s="62"/>
      <c r="G44" s="62"/>
      <c r="H44" s="62"/>
      <c r="I44" s="62"/>
      <c r="J44" s="63"/>
      <c r="L44" s="22"/>
      <c r="M44" s="62">
        <v>2014</v>
      </c>
      <c r="N44" s="209">
        <f t="shared" si="3"/>
        <v>0</v>
      </c>
      <c r="O44" s="62"/>
      <c r="P44" s="62"/>
      <c r="Q44" s="62"/>
      <c r="R44" s="62"/>
      <c r="S44" s="62"/>
      <c r="T44" s="63"/>
    </row>
    <row r="45" spans="2:20" x14ac:dyDescent="0.25">
      <c r="B45" s="22"/>
      <c r="C45" s="62"/>
      <c r="D45" s="62"/>
      <c r="E45" s="62"/>
      <c r="F45" s="62"/>
      <c r="G45" s="62"/>
      <c r="H45" s="62"/>
      <c r="I45" s="62"/>
      <c r="J45" s="63"/>
      <c r="L45" s="22"/>
      <c r="M45" s="62">
        <v>2015</v>
      </c>
      <c r="N45" s="209">
        <f t="shared" si="3"/>
        <v>0</v>
      </c>
      <c r="O45" s="62"/>
      <c r="P45" s="62"/>
      <c r="Q45" s="62"/>
      <c r="R45" s="62"/>
      <c r="S45" s="62"/>
      <c r="T45" s="63"/>
    </row>
    <row r="46" spans="2:20" x14ac:dyDescent="0.25">
      <c r="B46" s="206" t="s">
        <v>43</v>
      </c>
      <c r="C46" s="62" t="s">
        <v>2</v>
      </c>
      <c r="D46" s="62" t="s">
        <v>351</v>
      </c>
      <c r="E46" s="62"/>
      <c r="F46" s="62"/>
      <c r="G46" s="62"/>
      <c r="H46" s="62"/>
      <c r="I46" s="62"/>
      <c r="J46" s="63"/>
      <c r="L46" s="22"/>
      <c r="M46" s="62">
        <v>2016</v>
      </c>
      <c r="N46" s="209">
        <f t="shared" si="3"/>
        <v>0</v>
      </c>
      <c r="O46" s="62"/>
      <c r="P46" s="62"/>
      <c r="Q46" s="62"/>
      <c r="R46" s="62"/>
      <c r="S46" s="62"/>
      <c r="T46" s="63"/>
    </row>
    <row r="47" spans="2:20" x14ac:dyDescent="0.25">
      <c r="B47" s="22"/>
      <c r="C47" s="62">
        <v>2010</v>
      </c>
      <c r="D47" s="209"/>
      <c r="E47" s="62"/>
      <c r="F47" s="62"/>
      <c r="G47" s="62"/>
      <c r="H47" s="62"/>
      <c r="I47" s="62"/>
      <c r="J47" s="63"/>
      <c r="L47" s="22"/>
      <c r="M47" s="62">
        <v>2017</v>
      </c>
      <c r="N47" s="209">
        <f t="shared" si="3"/>
        <v>1</v>
      </c>
      <c r="O47" s="62"/>
      <c r="P47" s="62"/>
      <c r="Q47" s="62"/>
      <c r="R47" s="62"/>
      <c r="S47" s="62"/>
      <c r="T47" s="63"/>
    </row>
    <row r="48" spans="2:20" x14ac:dyDescent="0.25">
      <c r="B48" s="22"/>
      <c r="C48" s="62">
        <v>2011</v>
      </c>
      <c r="D48" s="209"/>
      <c r="E48" s="62"/>
      <c r="F48" s="62"/>
      <c r="G48" s="62"/>
      <c r="H48" s="62"/>
      <c r="I48" s="62"/>
      <c r="J48" s="63"/>
      <c r="L48" s="22"/>
      <c r="M48" s="62">
        <v>2018</v>
      </c>
      <c r="N48" s="209">
        <f t="shared" si="3"/>
        <v>1</v>
      </c>
      <c r="O48" s="62"/>
      <c r="P48" s="62"/>
      <c r="Q48" s="62"/>
      <c r="R48" s="62"/>
      <c r="S48" s="62"/>
      <c r="T48" s="63"/>
    </row>
    <row r="49" spans="2:20" x14ac:dyDescent="0.25">
      <c r="B49" s="22"/>
      <c r="C49" s="62">
        <v>2012</v>
      </c>
      <c r="D49" s="209"/>
      <c r="E49" s="62"/>
      <c r="F49" s="62"/>
      <c r="G49" s="62"/>
      <c r="H49" s="62"/>
      <c r="I49" s="62"/>
      <c r="J49" s="63"/>
      <c r="L49" s="22"/>
      <c r="M49" s="62">
        <v>2019</v>
      </c>
      <c r="N49" s="209">
        <f t="shared" si="3"/>
        <v>1</v>
      </c>
      <c r="O49" s="62"/>
      <c r="P49" s="62"/>
      <c r="Q49" s="62"/>
      <c r="R49" s="62"/>
      <c r="S49" s="62"/>
      <c r="T49" s="63"/>
    </row>
    <row r="50" spans="2:20" x14ac:dyDescent="0.25">
      <c r="B50" s="22"/>
      <c r="C50" s="62">
        <v>2013</v>
      </c>
      <c r="D50" s="209"/>
      <c r="E50" s="62"/>
      <c r="F50" s="62"/>
      <c r="G50" s="62"/>
      <c r="H50" s="62"/>
      <c r="I50" s="62"/>
      <c r="J50" s="63"/>
      <c r="L50" s="22"/>
      <c r="M50" s="62">
        <v>2020</v>
      </c>
      <c r="N50" s="209">
        <f t="shared" si="3"/>
        <v>1</v>
      </c>
      <c r="O50" s="62"/>
      <c r="P50" s="62"/>
      <c r="Q50" s="62"/>
      <c r="R50" s="62"/>
      <c r="S50" s="62"/>
      <c r="T50" s="63"/>
    </row>
    <row r="51" spans="2:20" x14ac:dyDescent="0.25">
      <c r="B51" s="22"/>
      <c r="C51" s="62">
        <v>2014</v>
      </c>
      <c r="D51" s="209"/>
      <c r="E51" s="62"/>
      <c r="F51" s="62"/>
      <c r="G51" s="62"/>
      <c r="H51" s="62"/>
      <c r="I51" s="62"/>
      <c r="J51" s="63"/>
      <c r="L51" s="22"/>
      <c r="M51" s="62">
        <v>2021</v>
      </c>
      <c r="N51" s="209">
        <f t="shared" si="3"/>
        <v>1</v>
      </c>
      <c r="O51" s="62"/>
      <c r="P51" s="62"/>
      <c r="Q51" s="62"/>
      <c r="R51" s="62"/>
      <c r="S51" s="62"/>
      <c r="T51" s="63"/>
    </row>
    <row r="52" spans="2:20" x14ac:dyDescent="0.25">
      <c r="B52" s="22"/>
      <c r="C52" s="62">
        <v>2015</v>
      </c>
      <c r="D52" s="209"/>
      <c r="E52" s="62"/>
      <c r="F52" s="62"/>
      <c r="G52" s="62"/>
      <c r="H52" s="62"/>
      <c r="I52" s="62"/>
      <c r="J52" s="63"/>
      <c r="L52" s="22"/>
      <c r="M52" s="62">
        <v>2022</v>
      </c>
      <c r="N52" s="209">
        <f t="shared" si="3"/>
        <v>1</v>
      </c>
      <c r="O52" s="62"/>
      <c r="P52" s="62"/>
      <c r="Q52" s="62"/>
      <c r="R52" s="62"/>
      <c r="S52" s="62"/>
      <c r="T52" s="63"/>
    </row>
    <row r="53" spans="2:20" x14ac:dyDescent="0.25">
      <c r="B53" s="22"/>
      <c r="C53" s="62">
        <v>2016</v>
      </c>
      <c r="D53" s="209"/>
      <c r="E53" s="62"/>
      <c r="F53" s="62"/>
      <c r="G53" s="62"/>
      <c r="H53" s="62"/>
      <c r="I53" s="62"/>
      <c r="J53" s="63"/>
      <c r="L53" s="22"/>
      <c r="M53" s="62">
        <v>2023</v>
      </c>
      <c r="N53" s="209">
        <f t="shared" si="3"/>
        <v>1</v>
      </c>
      <c r="O53" s="62"/>
      <c r="P53" s="62"/>
      <c r="Q53" s="62"/>
      <c r="R53" s="62"/>
      <c r="S53" s="62"/>
      <c r="T53" s="63"/>
    </row>
    <row r="54" spans="2:20" x14ac:dyDescent="0.25">
      <c r="B54" s="22"/>
      <c r="C54" s="62">
        <v>2017</v>
      </c>
      <c r="D54" s="209">
        <v>1</v>
      </c>
      <c r="E54" s="62"/>
      <c r="F54" s="62"/>
      <c r="G54" s="62"/>
      <c r="H54" s="62"/>
      <c r="I54" s="62"/>
      <c r="J54" s="63"/>
      <c r="L54" s="22"/>
      <c r="M54" s="62">
        <v>2024</v>
      </c>
      <c r="N54" s="209">
        <f t="shared" si="3"/>
        <v>1</v>
      </c>
      <c r="O54" s="62"/>
      <c r="P54" s="62"/>
      <c r="Q54" s="62"/>
      <c r="R54" s="62"/>
      <c r="S54" s="62"/>
      <c r="T54" s="63"/>
    </row>
    <row r="55" spans="2:20" x14ac:dyDescent="0.25">
      <c r="B55" s="22"/>
      <c r="C55" s="62">
        <v>2018</v>
      </c>
      <c r="D55" s="209">
        <v>1</v>
      </c>
      <c r="E55" s="62"/>
      <c r="F55" s="62"/>
      <c r="G55" s="62"/>
      <c r="H55" s="62"/>
      <c r="I55" s="62"/>
      <c r="J55" s="63"/>
      <c r="L55" s="22"/>
      <c r="M55" s="62">
        <v>2025</v>
      </c>
      <c r="N55" s="209">
        <f t="shared" si="3"/>
        <v>1</v>
      </c>
      <c r="O55" s="62"/>
      <c r="P55" s="62"/>
      <c r="Q55" s="62"/>
      <c r="R55" s="62"/>
      <c r="S55" s="62"/>
      <c r="T55" s="63"/>
    </row>
    <row r="56" spans="2:20" x14ac:dyDescent="0.25">
      <c r="B56" s="22"/>
      <c r="C56" s="62">
        <v>2019</v>
      </c>
      <c r="D56" s="209">
        <v>1</v>
      </c>
      <c r="E56" s="62"/>
      <c r="F56" s="62"/>
      <c r="G56" s="62"/>
      <c r="H56" s="62"/>
      <c r="I56" s="62"/>
      <c r="J56" s="63"/>
      <c r="L56" s="22"/>
      <c r="M56" s="62">
        <v>2026</v>
      </c>
      <c r="N56" s="209">
        <f t="shared" si="3"/>
        <v>1</v>
      </c>
      <c r="O56" s="62"/>
      <c r="P56" s="62"/>
      <c r="Q56" s="62"/>
      <c r="R56" s="62"/>
      <c r="S56" s="62"/>
      <c r="T56" s="63"/>
    </row>
    <row r="57" spans="2:20" x14ac:dyDescent="0.25">
      <c r="B57" s="22"/>
      <c r="C57" s="62">
        <v>2020</v>
      </c>
      <c r="D57" s="209">
        <v>1</v>
      </c>
      <c r="E57" s="62"/>
      <c r="F57" s="62"/>
      <c r="G57" s="62"/>
      <c r="H57" s="62"/>
      <c r="I57" s="62"/>
      <c r="J57" s="63"/>
      <c r="L57" s="22"/>
      <c r="M57" s="62">
        <v>2027</v>
      </c>
      <c r="N57" s="209">
        <f t="shared" si="3"/>
        <v>1</v>
      </c>
      <c r="O57" s="62"/>
      <c r="P57" s="62"/>
      <c r="Q57" s="62"/>
      <c r="R57" s="62"/>
      <c r="S57" s="62"/>
      <c r="T57" s="63"/>
    </row>
    <row r="58" spans="2:20" x14ac:dyDescent="0.25">
      <c r="B58" s="22"/>
      <c r="C58" s="62">
        <v>2021</v>
      </c>
      <c r="D58" s="209">
        <v>1</v>
      </c>
      <c r="E58" s="62"/>
      <c r="F58" s="62"/>
      <c r="G58" s="62"/>
      <c r="H58" s="62"/>
      <c r="I58" s="62"/>
      <c r="J58" s="63"/>
      <c r="L58" s="22"/>
      <c r="M58" s="62">
        <v>2028</v>
      </c>
      <c r="N58" s="209">
        <f t="shared" si="3"/>
        <v>1</v>
      </c>
      <c r="O58" s="62"/>
      <c r="P58" s="62"/>
      <c r="Q58" s="62"/>
      <c r="R58" s="62"/>
      <c r="S58" s="62"/>
      <c r="T58" s="63"/>
    </row>
    <row r="59" spans="2:20" x14ac:dyDescent="0.25">
      <c r="B59" s="22"/>
      <c r="C59" s="62">
        <v>2022</v>
      </c>
      <c r="D59" s="209">
        <v>1</v>
      </c>
      <c r="E59" s="62"/>
      <c r="F59" s="62"/>
      <c r="G59" s="62"/>
      <c r="H59" s="62"/>
      <c r="I59" s="62"/>
      <c r="J59" s="63"/>
      <c r="L59" s="22"/>
      <c r="M59" s="62">
        <v>2029</v>
      </c>
      <c r="N59" s="209">
        <f t="shared" si="3"/>
        <v>1</v>
      </c>
      <c r="O59" s="62"/>
      <c r="P59" s="62"/>
      <c r="Q59" s="62"/>
      <c r="R59" s="62"/>
      <c r="S59" s="62"/>
      <c r="T59" s="63"/>
    </row>
    <row r="60" spans="2:20" x14ac:dyDescent="0.25">
      <c r="B60" s="22"/>
      <c r="C60" s="62">
        <v>2023</v>
      </c>
      <c r="D60" s="209">
        <v>1</v>
      </c>
      <c r="E60" s="62"/>
      <c r="F60" s="62"/>
      <c r="G60" s="62"/>
      <c r="H60" s="62"/>
      <c r="I60" s="62"/>
      <c r="J60" s="63"/>
      <c r="L60" s="22"/>
      <c r="M60" s="62">
        <v>2030</v>
      </c>
      <c r="N60" s="209">
        <f t="shared" si="3"/>
        <v>1</v>
      </c>
      <c r="O60" s="62"/>
      <c r="P60" s="62"/>
      <c r="Q60" s="62"/>
      <c r="R60" s="62"/>
      <c r="S60" s="62"/>
      <c r="T60" s="63"/>
    </row>
    <row r="61" spans="2:20" x14ac:dyDescent="0.25">
      <c r="B61" s="22"/>
      <c r="C61" s="62">
        <v>2024</v>
      </c>
      <c r="D61" s="209">
        <v>1</v>
      </c>
      <c r="E61" s="62"/>
      <c r="F61" s="62"/>
      <c r="G61" s="62"/>
      <c r="H61" s="62"/>
      <c r="I61" s="62"/>
      <c r="J61" s="63"/>
      <c r="L61" s="22"/>
      <c r="M61" s="62">
        <v>2031</v>
      </c>
      <c r="N61" s="209">
        <f t="shared" si="3"/>
        <v>1</v>
      </c>
      <c r="O61" s="62"/>
      <c r="P61" s="62"/>
      <c r="Q61" s="62"/>
      <c r="R61" s="62"/>
      <c r="S61" s="62"/>
      <c r="T61" s="63"/>
    </row>
    <row r="62" spans="2:20" x14ac:dyDescent="0.25">
      <c r="B62" s="22"/>
      <c r="C62" s="62">
        <v>2025</v>
      </c>
      <c r="D62" s="209">
        <v>1</v>
      </c>
      <c r="E62" s="62"/>
      <c r="F62" s="62"/>
      <c r="G62" s="62"/>
      <c r="H62" s="62"/>
      <c r="I62" s="62"/>
      <c r="J62" s="63"/>
      <c r="L62" s="22"/>
      <c r="M62" s="62">
        <v>2032</v>
      </c>
      <c r="N62" s="209">
        <f t="shared" si="3"/>
        <v>1</v>
      </c>
      <c r="O62" s="62"/>
      <c r="P62" s="62"/>
      <c r="Q62" s="62"/>
      <c r="R62" s="62"/>
      <c r="S62" s="62"/>
      <c r="T62" s="63"/>
    </row>
    <row r="63" spans="2:20" x14ac:dyDescent="0.25">
      <c r="B63" s="22"/>
      <c r="C63" s="62">
        <v>2026</v>
      </c>
      <c r="D63" s="209">
        <v>1</v>
      </c>
      <c r="E63" s="62"/>
      <c r="F63" s="62"/>
      <c r="G63" s="62"/>
      <c r="H63" s="62"/>
      <c r="I63" s="62"/>
      <c r="J63" s="63"/>
      <c r="L63" s="22"/>
      <c r="M63" s="62">
        <v>2033</v>
      </c>
      <c r="N63" s="209">
        <f t="shared" si="3"/>
        <v>1</v>
      </c>
      <c r="O63" s="62"/>
      <c r="P63" s="62"/>
      <c r="Q63" s="62"/>
      <c r="R63" s="62"/>
      <c r="S63" s="62"/>
      <c r="T63" s="63"/>
    </row>
    <row r="64" spans="2:20" x14ac:dyDescent="0.25">
      <c r="B64" s="22"/>
      <c r="C64" s="62">
        <v>2027</v>
      </c>
      <c r="D64" s="209">
        <v>1</v>
      </c>
      <c r="E64" s="62"/>
      <c r="F64" s="62"/>
      <c r="G64" s="62"/>
      <c r="H64" s="62"/>
      <c r="I64" s="62"/>
      <c r="J64" s="63"/>
      <c r="L64" s="22"/>
      <c r="M64" s="62">
        <v>2034</v>
      </c>
      <c r="N64" s="209">
        <f t="shared" si="3"/>
        <v>1</v>
      </c>
      <c r="O64" s="62"/>
      <c r="P64" s="62"/>
      <c r="Q64" s="62"/>
      <c r="R64" s="62"/>
      <c r="S64" s="62"/>
      <c r="T64" s="63"/>
    </row>
    <row r="65" spans="2:20" x14ac:dyDescent="0.25">
      <c r="B65" s="22"/>
      <c r="C65" s="62">
        <v>2028</v>
      </c>
      <c r="D65" s="209">
        <v>1</v>
      </c>
      <c r="E65" s="62"/>
      <c r="F65" s="62"/>
      <c r="G65" s="62"/>
      <c r="H65" s="62"/>
      <c r="I65" s="62"/>
      <c r="J65" s="63"/>
      <c r="L65" s="22"/>
      <c r="M65" s="62">
        <v>2035</v>
      </c>
      <c r="N65" s="209">
        <f t="shared" si="3"/>
        <v>2</v>
      </c>
      <c r="O65" s="62"/>
      <c r="P65" s="62"/>
      <c r="Q65" s="62"/>
      <c r="R65" s="62"/>
      <c r="S65" s="62"/>
      <c r="T65" s="63"/>
    </row>
    <row r="66" spans="2:20" x14ac:dyDescent="0.25">
      <c r="B66" s="22"/>
      <c r="C66" s="62">
        <v>2029</v>
      </c>
      <c r="D66" s="209">
        <v>1</v>
      </c>
      <c r="E66" s="62"/>
      <c r="F66" s="62"/>
      <c r="G66" s="62"/>
      <c r="H66" s="62"/>
      <c r="I66" s="62"/>
      <c r="J66" s="63"/>
      <c r="L66" s="22"/>
      <c r="M66" s="62">
        <v>2036</v>
      </c>
      <c r="N66" s="209">
        <f t="shared" si="3"/>
        <v>2</v>
      </c>
      <c r="O66" s="62"/>
      <c r="P66" s="62"/>
      <c r="Q66" s="62"/>
      <c r="R66" s="62"/>
      <c r="S66" s="62"/>
      <c r="T66" s="63"/>
    </row>
    <row r="67" spans="2:20" x14ac:dyDescent="0.25">
      <c r="B67" s="22"/>
      <c r="C67" s="62">
        <v>2030</v>
      </c>
      <c r="D67" s="209">
        <v>1</v>
      </c>
      <c r="E67" s="62"/>
      <c r="F67" s="62"/>
      <c r="G67" s="62"/>
      <c r="H67" s="62"/>
      <c r="I67" s="62"/>
      <c r="J67" s="63"/>
      <c r="L67" s="22"/>
      <c r="M67" s="62">
        <v>2037</v>
      </c>
      <c r="N67" s="209">
        <f t="shared" si="3"/>
        <v>2</v>
      </c>
      <c r="O67" s="62"/>
      <c r="P67" s="62"/>
      <c r="Q67" s="62"/>
      <c r="R67" s="62"/>
      <c r="S67" s="62"/>
      <c r="T67" s="63"/>
    </row>
    <row r="68" spans="2:20" x14ac:dyDescent="0.25">
      <c r="B68" s="22"/>
      <c r="C68" s="62">
        <v>2031</v>
      </c>
      <c r="D68" s="209">
        <v>1</v>
      </c>
      <c r="E68" s="62"/>
      <c r="F68" s="62"/>
      <c r="G68" s="62"/>
      <c r="H68" s="62"/>
      <c r="I68" s="62"/>
      <c r="J68" s="63"/>
      <c r="L68" s="22"/>
      <c r="M68" s="62">
        <v>2038</v>
      </c>
      <c r="N68" s="209">
        <f t="shared" si="3"/>
        <v>2</v>
      </c>
      <c r="O68" s="62"/>
      <c r="P68" s="62"/>
      <c r="Q68" s="62"/>
      <c r="R68" s="62"/>
      <c r="S68" s="62"/>
      <c r="T68" s="63"/>
    </row>
    <row r="69" spans="2:20" x14ac:dyDescent="0.25">
      <c r="B69" s="22"/>
      <c r="C69" s="62">
        <v>2032</v>
      </c>
      <c r="D69" s="209">
        <v>1</v>
      </c>
      <c r="E69" s="62"/>
      <c r="F69" s="62"/>
      <c r="G69" s="62"/>
      <c r="H69" s="62"/>
      <c r="I69" s="62"/>
      <c r="J69" s="63"/>
      <c r="L69" s="22"/>
      <c r="M69" s="62">
        <v>2039</v>
      </c>
      <c r="N69" s="209">
        <f t="shared" si="3"/>
        <v>2</v>
      </c>
      <c r="O69" s="62"/>
      <c r="P69" s="62"/>
      <c r="Q69" s="62"/>
      <c r="R69" s="62"/>
      <c r="S69" s="62"/>
      <c r="T69" s="63"/>
    </row>
    <row r="70" spans="2:20" x14ac:dyDescent="0.25">
      <c r="B70" s="22"/>
      <c r="C70" s="62">
        <v>2033</v>
      </c>
      <c r="D70" s="209">
        <v>1</v>
      </c>
      <c r="E70" s="62"/>
      <c r="F70" s="62"/>
      <c r="G70" s="62"/>
      <c r="H70" s="62"/>
      <c r="I70" s="62"/>
      <c r="J70" s="63"/>
      <c r="L70" s="22"/>
      <c r="M70" s="62">
        <v>2040</v>
      </c>
      <c r="N70" s="209">
        <f t="shared" si="3"/>
        <v>2</v>
      </c>
      <c r="O70" s="62"/>
      <c r="P70" s="62"/>
      <c r="Q70" s="62"/>
      <c r="R70" s="62"/>
      <c r="S70" s="62"/>
      <c r="T70" s="63"/>
    </row>
    <row r="71" spans="2:20" x14ac:dyDescent="0.25">
      <c r="B71" s="22"/>
      <c r="C71" s="62">
        <v>2034</v>
      </c>
      <c r="D71" s="209">
        <v>1</v>
      </c>
      <c r="E71" s="62"/>
      <c r="F71" s="62"/>
      <c r="G71" s="62"/>
      <c r="H71" s="62"/>
      <c r="I71" s="62"/>
      <c r="J71" s="63"/>
      <c r="L71" s="22"/>
      <c r="M71" s="62">
        <v>2041</v>
      </c>
      <c r="N71" s="209">
        <f t="shared" si="3"/>
        <v>2</v>
      </c>
      <c r="O71" s="62"/>
      <c r="P71" s="62"/>
      <c r="Q71" s="62"/>
      <c r="R71" s="62"/>
      <c r="S71" s="62"/>
      <c r="T71" s="63"/>
    </row>
    <row r="72" spans="2:20" x14ac:dyDescent="0.25">
      <c r="B72" s="22"/>
      <c r="C72" s="62">
        <v>2035</v>
      </c>
      <c r="D72" s="209">
        <v>2</v>
      </c>
      <c r="E72" s="62"/>
      <c r="F72" s="62"/>
      <c r="G72" s="62"/>
      <c r="H72" s="62"/>
      <c r="I72" s="62"/>
      <c r="J72" s="63"/>
      <c r="L72" s="22"/>
      <c r="M72" s="62">
        <v>2042</v>
      </c>
      <c r="N72" s="209">
        <f t="shared" si="3"/>
        <v>2</v>
      </c>
      <c r="O72" s="62"/>
      <c r="P72" s="62"/>
      <c r="Q72" s="62"/>
      <c r="R72" s="62"/>
      <c r="S72" s="62"/>
      <c r="T72" s="63"/>
    </row>
    <row r="73" spans="2:20" x14ac:dyDescent="0.25">
      <c r="B73" s="22"/>
      <c r="C73" s="62">
        <v>2036</v>
      </c>
      <c r="D73" s="209">
        <v>2</v>
      </c>
      <c r="E73" s="62"/>
      <c r="F73" s="62"/>
      <c r="G73" s="62"/>
      <c r="H73" s="62"/>
      <c r="I73" s="62"/>
      <c r="J73" s="63"/>
      <c r="L73" s="22"/>
      <c r="M73" s="62">
        <v>2043</v>
      </c>
      <c r="N73" s="209">
        <f t="shared" si="3"/>
        <v>2</v>
      </c>
      <c r="O73" s="62"/>
      <c r="P73" s="62"/>
      <c r="Q73" s="62"/>
      <c r="R73" s="62"/>
      <c r="S73" s="62"/>
      <c r="T73" s="63"/>
    </row>
    <row r="74" spans="2:20" x14ac:dyDescent="0.25">
      <c r="B74" s="22"/>
      <c r="C74" s="62">
        <v>2037</v>
      </c>
      <c r="D74" s="209">
        <v>2</v>
      </c>
      <c r="E74" s="62"/>
      <c r="F74" s="62"/>
      <c r="G74" s="62"/>
      <c r="H74" s="62"/>
      <c r="I74" s="62"/>
      <c r="J74" s="63"/>
      <c r="L74" s="22"/>
      <c r="M74" s="62">
        <v>2044</v>
      </c>
      <c r="N74" s="209">
        <f t="shared" si="3"/>
        <v>2</v>
      </c>
      <c r="O74" s="62"/>
      <c r="P74" s="62"/>
      <c r="Q74" s="62"/>
      <c r="R74" s="62"/>
      <c r="S74" s="62"/>
      <c r="T74" s="63"/>
    </row>
    <row r="75" spans="2:20" x14ac:dyDescent="0.25">
      <c r="B75" s="22"/>
      <c r="C75" s="62">
        <v>2038</v>
      </c>
      <c r="D75" s="209">
        <v>2</v>
      </c>
      <c r="E75" s="62"/>
      <c r="F75" s="62"/>
      <c r="G75" s="62"/>
      <c r="H75" s="62"/>
      <c r="I75" s="62"/>
      <c r="J75" s="63"/>
      <c r="L75" s="22"/>
      <c r="M75" s="62">
        <v>2045</v>
      </c>
      <c r="N75" s="209">
        <f t="shared" si="3"/>
        <v>2</v>
      </c>
      <c r="O75" s="62"/>
      <c r="P75" s="62"/>
      <c r="Q75" s="62"/>
      <c r="R75" s="62"/>
      <c r="S75" s="62"/>
      <c r="T75" s="63"/>
    </row>
    <row r="76" spans="2:20" x14ac:dyDescent="0.25">
      <c r="B76" s="22"/>
      <c r="C76" s="62">
        <v>2039</v>
      </c>
      <c r="D76" s="209">
        <v>2</v>
      </c>
      <c r="E76" s="62"/>
      <c r="F76" s="62"/>
      <c r="G76" s="62"/>
      <c r="H76" s="62"/>
      <c r="I76" s="62"/>
      <c r="J76" s="63"/>
      <c r="L76" s="22"/>
      <c r="M76" s="62">
        <v>2046</v>
      </c>
      <c r="N76" s="209">
        <f t="shared" si="3"/>
        <v>2</v>
      </c>
      <c r="O76" s="62"/>
      <c r="P76" s="62"/>
      <c r="Q76" s="62"/>
      <c r="R76" s="62"/>
      <c r="S76" s="62"/>
      <c r="T76" s="63"/>
    </row>
    <row r="77" spans="2:20" x14ac:dyDescent="0.25">
      <c r="B77" s="22"/>
      <c r="C77" s="62">
        <v>2040</v>
      </c>
      <c r="D77" s="209">
        <v>2</v>
      </c>
      <c r="E77" s="62"/>
      <c r="F77" s="62"/>
      <c r="G77" s="62"/>
      <c r="H77" s="62"/>
      <c r="I77" s="62"/>
      <c r="J77" s="63"/>
      <c r="L77" s="22"/>
      <c r="M77" s="62">
        <v>2047</v>
      </c>
      <c r="N77" s="209">
        <f t="shared" si="3"/>
        <v>2</v>
      </c>
      <c r="O77" s="62"/>
      <c r="P77" s="62"/>
      <c r="Q77" s="62"/>
      <c r="R77" s="62"/>
      <c r="S77" s="62"/>
      <c r="T77" s="63"/>
    </row>
    <row r="78" spans="2:20" x14ac:dyDescent="0.25">
      <c r="B78" s="22"/>
      <c r="C78" s="62">
        <v>2041</v>
      </c>
      <c r="D78" s="209">
        <v>2</v>
      </c>
      <c r="E78" s="62"/>
      <c r="F78" s="62"/>
      <c r="G78" s="62"/>
      <c r="H78" s="62"/>
      <c r="I78" s="62"/>
      <c r="J78" s="63"/>
      <c r="L78" s="22"/>
      <c r="M78" s="62">
        <v>2048</v>
      </c>
      <c r="N78" s="209">
        <f t="shared" si="3"/>
        <v>2</v>
      </c>
      <c r="O78" s="62"/>
      <c r="P78" s="62"/>
      <c r="Q78" s="62"/>
      <c r="R78" s="62"/>
      <c r="S78" s="62"/>
      <c r="T78" s="63"/>
    </row>
    <row r="79" spans="2:20" x14ac:dyDescent="0.25">
      <c r="B79" s="22"/>
      <c r="C79" s="62">
        <v>2042</v>
      </c>
      <c r="D79" s="209">
        <v>2</v>
      </c>
      <c r="E79" s="62"/>
      <c r="F79" s="62"/>
      <c r="G79" s="62"/>
      <c r="H79" s="62"/>
      <c r="I79" s="62"/>
      <c r="J79" s="63"/>
      <c r="L79" s="22"/>
      <c r="M79" s="62">
        <v>2049</v>
      </c>
      <c r="N79" s="209">
        <f t="shared" si="3"/>
        <v>2</v>
      </c>
      <c r="O79" s="62"/>
      <c r="P79" s="62"/>
      <c r="Q79" s="62"/>
      <c r="R79" s="62"/>
      <c r="S79" s="62"/>
      <c r="T79" s="63"/>
    </row>
    <row r="80" spans="2:20" x14ac:dyDescent="0.25">
      <c r="B80" s="22"/>
      <c r="C80" s="62">
        <v>2043</v>
      </c>
      <c r="D80" s="209">
        <v>2</v>
      </c>
      <c r="E80" s="62"/>
      <c r="F80" s="62"/>
      <c r="G80" s="62"/>
      <c r="H80" s="62"/>
      <c r="I80" s="62"/>
      <c r="J80" s="63"/>
      <c r="L80" s="22"/>
      <c r="M80" s="62">
        <v>2050</v>
      </c>
      <c r="N80" s="209">
        <f t="shared" si="3"/>
        <v>2</v>
      </c>
      <c r="O80" s="62"/>
      <c r="P80" s="62"/>
      <c r="Q80" s="62"/>
      <c r="R80" s="62"/>
      <c r="S80" s="62"/>
      <c r="T80" s="63"/>
    </row>
    <row r="81" spans="2:20" x14ac:dyDescent="0.25">
      <c r="B81" s="22"/>
      <c r="C81" s="62">
        <v>2044</v>
      </c>
      <c r="D81" s="209">
        <v>2</v>
      </c>
      <c r="E81" s="62"/>
      <c r="F81" s="62"/>
      <c r="G81" s="62"/>
      <c r="H81" s="62"/>
      <c r="I81" s="62"/>
      <c r="J81" s="63"/>
      <c r="L81" s="11"/>
      <c r="M81" s="62">
        <v>2051</v>
      </c>
      <c r="N81" s="209">
        <f t="shared" si="3"/>
        <v>2</v>
      </c>
      <c r="O81" s="62"/>
      <c r="P81" s="62"/>
      <c r="Q81" s="62"/>
      <c r="R81" s="62"/>
      <c r="S81" s="62"/>
      <c r="T81" s="63"/>
    </row>
    <row r="82" spans="2:20" x14ac:dyDescent="0.25">
      <c r="B82" s="22"/>
      <c r="C82" s="62">
        <v>2045</v>
      </c>
      <c r="D82" s="209">
        <v>2</v>
      </c>
      <c r="E82" s="62"/>
      <c r="F82" s="62"/>
      <c r="G82" s="62"/>
      <c r="H82" s="62"/>
      <c r="I82" s="62"/>
      <c r="J82" s="63"/>
      <c r="L82" s="22"/>
      <c r="M82" s="62">
        <v>2052</v>
      </c>
      <c r="N82" s="209">
        <f t="shared" si="3"/>
        <v>2</v>
      </c>
      <c r="O82" s="62"/>
      <c r="P82" s="62"/>
      <c r="Q82" s="62"/>
      <c r="R82" s="62"/>
      <c r="S82" s="62"/>
      <c r="T82" s="63"/>
    </row>
    <row r="83" spans="2:20" x14ac:dyDescent="0.25">
      <c r="B83" s="22"/>
      <c r="C83" s="62">
        <v>2046</v>
      </c>
      <c r="D83" s="209">
        <v>2</v>
      </c>
      <c r="E83" s="62"/>
      <c r="F83" s="62"/>
      <c r="G83" s="62"/>
      <c r="H83" s="62"/>
      <c r="I83" s="62"/>
      <c r="J83" s="63"/>
      <c r="L83" s="64"/>
      <c r="M83" s="65"/>
      <c r="N83" s="65"/>
      <c r="O83" s="65"/>
      <c r="P83" s="65"/>
      <c r="Q83" s="65"/>
      <c r="R83" s="65"/>
      <c r="S83" s="65"/>
      <c r="T83" s="66"/>
    </row>
    <row r="84" spans="2:20" ht="18.75" x14ac:dyDescent="0.3">
      <c r="B84" s="22"/>
      <c r="C84" s="62">
        <v>2047</v>
      </c>
      <c r="D84" s="209">
        <v>2</v>
      </c>
      <c r="E84" s="62"/>
      <c r="F84" s="62"/>
      <c r="G84" s="62"/>
      <c r="H84" s="62"/>
      <c r="I84" s="62"/>
      <c r="J84" s="63"/>
      <c r="L84" s="21" t="s">
        <v>0</v>
      </c>
      <c r="M84" s="62"/>
      <c r="N84" s="62"/>
      <c r="O84" s="62"/>
      <c r="P84" s="62"/>
      <c r="Q84" s="62"/>
      <c r="R84" s="62"/>
      <c r="S84" s="62"/>
      <c r="T84" s="63"/>
    </row>
    <row r="85" spans="2:20" x14ac:dyDescent="0.25">
      <c r="B85" s="22"/>
      <c r="C85" s="62">
        <v>2048</v>
      </c>
      <c r="D85" s="209">
        <v>2</v>
      </c>
      <c r="E85" s="62"/>
      <c r="F85" s="62"/>
      <c r="G85" s="62"/>
      <c r="H85" s="62"/>
      <c r="I85" s="62"/>
      <c r="J85" s="63"/>
      <c r="L85" s="22"/>
      <c r="M85" s="62"/>
      <c r="N85" s="62"/>
      <c r="O85" s="62"/>
      <c r="P85" s="62"/>
      <c r="Q85" s="62"/>
      <c r="R85" s="62"/>
      <c r="S85" s="62"/>
      <c r="T85" s="63"/>
    </row>
    <row r="86" spans="2:20" x14ac:dyDescent="0.25">
      <c r="B86" s="22"/>
      <c r="C86" s="62">
        <v>2049</v>
      </c>
      <c r="D86" s="209">
        <v>2</v>
      </c>
      <c r="E86" s="62"/>
      <c r="F86" s="62"/>
      <c r="G86" s="62"/>
      <c r="H86" s="62"/>
      <c r="I86" s="62"/>
      <c r="J86" s="63"/>
      <c r="L86" s="22" t="s">
        <v>95</v>
      </c>
      <c r="M86" s="62" t="s">
        <v>96</v>
      </c>
      <c r="N86" s="62"/>
      <c r="O86" s="62"/>
      <c r="P86" s="62"/>
      <c r="Q86" s="62"/>
      <c r="R86" s="62"/>
      <c r="S86" s="62"/>
      <c r="T86" s="63"/>
    </row>
    <row r="87" spans="2:20" x14ac:dyDescent="0.25">
      <c r="B87" s="22"/>
      <c r="C87" s="62">
        <v>2050</v>
      </c>
      <c r="D87" s="209">
        <v>2</v>
      </c>
      <c r="E87" s="62"/>
      <c r="F87" s="62"/>
      <c r="G87" s="62"/>
      <c r="H87" s="62"/>
      <c r="I87" s="62"/>
      <c r="J87" s="63"/>
      <c r="L87" s="22"/>
      <c r="M87" s="62"/>
      <c r="N87" s="62"/>
      <c r="O87" s="62"/>
      <c r="P87" s="62"/>
      <c r="Q87" s="62"/>
      <c r="R87" s="62"/>
      <c r="S87" s="62"/>
      <c r="T87" s="63"/>
    </row>
    <row r="88" spans="2:20" x14ac:dyDescent="0.25">
      <c r="B88" s="22"/>
      <c r="C88" s="62">
        <v>2051</v>
      </c>
      <c r="D88" s="209">
        <v>2</v>
      </c>
      <c r="E88" s="62"/>
      <c r="F88" s="62"/>
      <c r="G88" s="62"/>
      <c r="H88" s="62"/>
      <c r="I88" s="62"/>
      <c r="J88" s="63"/>
      <c r="L88" s="22" t="s">
        <v>24</v>
      </c>
      <c r="M88" s="85" t="s">
        <v>4</v>
      </c>
      <c r="N88" s="85" t="s">
        <v>5</v>
      </c>
      <c r="O88" s="85" t="s">
        <v>7</v>
      </c>
      <c r="P88" s="62"/>
      <c r="Q88" s="62"/>
      <c r="R88" s="62"/>
      <c r="S88" s="62"/>
      <c r="T88" s="63"/>
    </row>
    <row r="89" spans="2:20" x14ac:dyDescent="0.25">
      <c r="B89" s="22"/>
      <c r="C89" s="62">
        <v>2052</v>
      </c>
      <c r="D89" s="209">
        <v>2</v>
      </c>
      <c r="E89" s="62"/>
      <c r="F89" s="62"/>
      <c r="G89" s="62"/>
      <c r="H89" s="62"/>
      <c r="I89" s="62"/>
      <c r="J89" s="63"/>
      <c r="L89" s="11"/>
      <c r="M89" s="24">
        <f>C6</f>
        <v>9600000</v>
      </c>
      <c r="N89" s="62" t="s">
        <v>6</v>
      </c>
      <c r="O89" s="340">
        <f>E6</f>
        <v>2017</v>
      </c>
      <c r="P89" s="62"/>
      <c r="Q89" s="62"/>
      <c r="R89" s="62"/>
      <c r="S89" s="62"/>
      <c r="T89" s="63"/>
    </row>
    <row r="90" spans="2:20" ht="15.75" thickBot="1" x14ac:dyDescent="0.3">
      <c r="B90" s="450"/>
      <c r="C90" s="451"/>
      <c r="D90" s="451"/>
      <c r="E90" s="451"/>
      <c r="F90" s="451"/>
      <c r="G90" s="451"/>
      <c r="H90" s="451"/>
      <c r="I90" s="451"/>
      <c r="J90" s="452"/>
      <c r="L90" s="11" t="s">
        <v>44</v>
      </c>
      <c r="M90" s="62" t="str">
        <f>M99</f>
        <v>Benefit-Cost Analysis Guidance for Discretionary Grant Programs - December 2018</v>
      </c>
      <c r="N90" s="62"/>
      <c r="O90" s="62"/>
      <c r="P90" s="62"/>
      <c r="Q90" s="62"/>
      <c r="R90" s="62"/>
      <c r="S90" s="62"/>
      <c r="T90" s="63"/>
    </row>
    <row r="91" spans="2:20" x14ac:dyDescent="0.25">
      <c r="L91" s="22"/>
      <c r="M91" s="62"/>
      <c r="N91" s="62"/>
      <c r="O91" s="62"/>
      <c r="P91" s="62"/>
      <c r="Q91" s="62"/>
      <c r="R91" s="62"/>
      <c r="S91" s="62"/>
      <c r="T91" s="63"/>
    </row>
    <row r="92" spans="2:20" x14ac:dyDescent="0.25">
      <c r="L92" s="22" t="s">
        <v>8</v>
      </c>
      <c r="M92" s="62" t="s">
        <v>11</v>
      </c>
      <c r="N92" s="62" t="s">
        <v>12</v>
      </c>
      <c r="O92" s="62" t="s">
        <v>13</v>
      </c>
      <c r="P92" s="62" t="str">
        <f t="shared" ref="P92:P98" si="4">F8</f>
        <v>Unit Value ($2017)</v>
      </c>
      <c r="Q92" s="62"/>
      <c r="R92" s="62"/>
      <c r="S92" s="62"/>
      <c r="T92" s="63"/>
    </row>
    <row r="93" spans="2:20" x14ac:dyDescent="0.25">
      <c r="L93" s="11"/>
      <c r="M93" s="62" t="s">
        <v>9</v>
      </c>
      <c r="N93" s="62" t="s">
        <v>18</v>
      </c>
      <c r="O93" s="62">
        <f t="shared" ref="O93:O98" si="5">E9</f>
        <v>3.0000000000000001E-3</v>
      </c>
      <c r="P93" s="226">
        <f t="shared" si="4"/>
        <v>28800</v>
      </c>
      <c r="Q93" s="62"/>
      <c r="R93" s="62"/>
      <c r="S93" s="62"/>
      <c r="T93" s="63"/>
    </row>
    <row r="94" spans="2:20" x14ac:dyDescent="0.25">
      <c r="L94" s="11"/>
      <c r="M94" s="62" t="s">
        <v>10</v>
      </c>
      <c r="N94" s="62" t="s">
        <v>19</v>
      </c>
      <c r="O94" s="62">
        <f t="shared" si="5"/>
        <v>4.7E-2</v>
      </c>
      <c r="P94" s="226">
        <f t="shared" si="4"/>
        <v>451200</v>
      </c>
      <c r="Q94" s="62"/>
      <c r="R94" s="62"/>
      <c r="S94" s="62"/>
      <c r="T94" s="63"/>
    </row>
    <row r="95" spans="2:20" x14ac:dyDescent="0.25">
      <c r="L95" s="11"/>
      <c r="M95" s="62" t="s">
        <v>14</v>
      </c>
      <c r="N95" s="62" t="s">
        <v>20</v>
      </c>
      <c r="O95" s="62">
        <f t="shared" si="5"/>
        <v>0.105</v>
      </c>
      <c r="P95" s="226">
        <f t="shared" si="4"/>
        <v>1008000</v>
      </c>
      <c r="Q95" s="62"/>
      <c r="R95" s="62"/>
      <c r="S95" s="62"/>
      <c r="T95" s="63"/>
    </row>
    <row r="96" spans="2:20" x14ac:dyDescent="0.25">
      <c r="L96" s="11"/>
      <c r="M96" s="62" t="s">
        <v>15</v>
      </c>
      <c r="N96" s="62" t="s">
        <v>21</v>
      </c>
      <c r="O96" s="62">
        <f t="shared" si="5"/>
        <v>0.26600000000000001</v>
      </c>
      <c r="P96" s="226">
        <f t="shared" si="4"/>
        <v>2553600</v>
      </c>
      <c r="Q96" s="62"/>
      <c r="R96" s="62"/>
      <c r="S96" s="62"/>
      <c r="T96" s="63"/>
    </row>
    <row r="97" spans="12:20" x14ac:dyDescent="0.25">
      <c r="L97" s="11"/>
      <c r="M97" s="62" t="s">
        <v>16</v>
      </c>
      <c r="N97" s="62" t="s">
        <v>22</v>
      </c>
      <c r="O97" s="62">
        <f t="shared" si="5"/>
        <v>0.59299999999999997</v>
      </c>
      <c r="P97" s="226">
        <f t="shared" si="4"/>
        <v>5692800</v>
      </c>
      <c r="Q97" s="62"/>
      <c r="R97" s="62"/>
      <c r="S97" s="62"/>
      <c r="T97" s="63"/>
    </row>
    <row r="98" spans="12:20" x14ac:dyDescent="0.25">
      <c r="L98" s="11"/>
      <c r="M98" s="62" t="s">
        <v>17</v>
      </c>
      <c r="N98" s="62" t="s">
        <v>23</v>
      </c>
      <c r="O98" s="62">
        <f t="shared" si="5"/>
        <v>1</v>
      </c>
      <c r="P98" s="226">
        <f t="shared" si="4"/>
        <v>9600000</v>
      </c>
      <c r="Q98" s="62"/>
      <c r="R98" s="62"/>
      <c r="S98" s="62"/>
      <c r="T98" s="63"/>
    </row>
    <row r="99" spans="12:20" x14ac:dyDescent="0.25">
      <c r="L99" s="11" t="s">
        <v>44</v>
      </c>
      <c r="M99" s="62" t="str">
        <f>B2</f>
        <v>Benefit-Cost Analysis Guidance for Discretionary Grant Programs - December 2018</v>
      </c>
      <c r="N99" s="62"/>
      <c r="O99" s="62"/>
      <c r="P99" s="62"/>
      <c r="Q99" s="62"/>
      <c r="R99" s="62"/>
      <c r="S99" s="62"/>
      <c r="T99" s="63"/>
    </row>
    <row r="100" spans="12:20" x14ac:dyDescent="0.25">
      <c r="L100" s="22"/>
      <c r="M100" s="62"/>
      <c r="N100" s="62"/>
      <c r="O100" s="62"/>
      <c r="P100" s="62"/>
      <c r="Q100" s="62"/>
      <c r="R100" s="62"/>
      <c r="S100" s="62"/>
      <c r="T100" s="63"/>
    </row>
    <row r="101" spans="12:20" x14ac:dyDescent="0.25">
      <c r="L101" s="22" t="s">
        <v>25</v>
      </c>
      <c r="M101" s="85" t="s">
        <v>4</v>
      </c>
      <c r="N101" s="85" t="s">
        <v>5</v>
      </c>
      <c r="O101" s="85" t="s">
        <v>7</v>
      </c>
      <c r="P101" s="62"/>
      <c r="Q101" s="62"/>
      <c r="R101" s="62"/>
      <c r="S101" s="62"/>
      <c r="T101" s="63"/>
    </row>
    <row r="102" spans="12:20" x14ac:dyDescent="0.25">
      <c r="L102" s="22"/>
      <c r="M102" s="24">
        <f>C17</f>
        <v>4300</v>
      </c>
      <c r="N102" s="62" t="s">
        <v>26</v>
      </c>
      <c r="O102" s="340">
        <f>E17</f>
        <v>2017</v>
      </c>
      <c r="P102" s="62"/>
      <c r="Q102" s="62"/>
      <c r="R102" s="62"/>
      <c r="S102" s="62"/>
      <c r="T102" s="63"/>
    </row>
    <row r="103" spans="12:20" ht="15.75" thickBot="1" x14ac:dyDescent="0.3">
      <c r="L103" s="227" t="s">
        <v>44</v>
      </c>
      <c r="M103" s="72" t="str">
        <f>B2</f>
        <v>Benefit-Cost Analysis Guidance for Discretionary Grant Programs - December 2018</v>
      </c>
      <c r="N103" s="72"/>
      <c r="O103" s="72"/>
      <c r="P103" s="72"/>
      <c r="Q103" s="72"/>
      <c r="R103" s="72"/>
      <c r="S103" s="72"/>
      <c r="T103" s="73"/>
    </row>
  </sheetData>
  <mergeCells count="5">
    <mergeCell ref="B90:J90"/>
    <mergeCell ref="M7:T7"/>
    <mergeCell ref="P12:T12"/>
    <mergeCell ref="P24:T24"/>
    <mergeCell ref="P25:T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workbookViewId="0">
      <selection activeCell="E35" sqref="E35"/>
    </sheetView>
  </sheetViews>
  <sheetFormatPr defaultColWidth="9.140625" defaultRowHeight="15" x14ac:dyDescent="0.25"/>
  <cols>
    <col min="1" max="1" width="23.42578125" style="74" customWidth="1"/>
    <col min="2" max="2" width="8.7109375" style="74" customWidth="1"/>
    <col min="3" max="3" width="27.42578125" style="74" customWidth="1"/>
    <col min="4" max="5" width="9.140625" style="74"/>
    <col min="6" max="6" width="29.7109375" style="74" customWidth="1"/>
    <col min="7" max="16384" width="9.140625" style="74"/>
  </cols>
  <sheetData>
    <row r="1" spans="1:7" x14ac:dyDescent="0.25">
      <c r="A1" s="210" t="s">
        <v>274</v>
      </c>
      <c r="B1" s="76"/>
      <c r="C1" s="76"/>
      <c r="D1" s="76"/>
      <c r="E1" s="76"/>
      <c r="F1" s="76"/>
      <c r="G1" s="76"/>
    </row>
    <row r="2" spans="1:7" x14ac:dyDescent="0.25">
      <c r="A2" s="76"/>
      <c r="B2" s="76"/>
      <c r="C2" s="76"/>
      <c r="D2" s="76"/>
      <c r="E2" s="76"/>
      <c r="F2" s="76"/>
      <c r="G2" s="76"/>
    </row>
    <row r="3" spans="1:7" ht="45" x14ac:dyDescent="0.25">
      <c r="A3" s="76"/>
      <c r="B3" s="310" t="s">
        <v>2</v>
      </c>
      <c r="C3" s="212" t="s">
        <v>279</v>
      </c>
      <c r="D3" s="77"/>
    </row>
    <row r="4" spans="1:7" x14ac:dyDescent="0.25">
      <c r="A4" s="76"/>
      <c r="B4" s="211">
        <v>2001</v>
      </c>
      <c r="C4" s="291">
        <v>1.3542000000000001</v>
      </c>
      <c r="D4" s="77"/>
    </row>
    <row r="5" spans="1:7" x14ac:dyDescent="0.25">
      <c r="A5" s="76"/>
      <c r="B5" s="213">
        <v>2002</v>
      </c>
      <c r="C5" s="292">
        <v>1.3338000000000001</v>
      </c>
      <c r="D5" s="77"/>
    </row>
    <row r="6" spans="1:7" x14ac:dyDescent="0.25">
      <c r="A6" s="76"/>
      <c r="B6" s="213">
        <v>2003</v>
      </c>
      <c r="C6" s="292">
        <v>1.3077000000000001</v>
      </c>
      <c r="D6" s="77"/>
    </row>
    <row r="7" spans="1:7" x14ac:dyDescent="0.25">
      <c r="A7" s="76"/>
      <c r="B7" s="213">
        <v>2004</v>
      </c>
      <c r="C7" s="292">
        <v>1.2726999999999999</v>
      </c>
      <c r="D7" s="77"/>
    </row>
    <row r="8" spans="1:7" x14ac:dyDescent="0.25">
      <c r="A8" s="76"/>
      <c r="B8" s="213">
        <v>2005</v>
      </c>
      <c r="C8" s="292">
        <v>1.2330000000000001</v>
      </c>
      <c r="D8" s="77"/>
    </row>
    <row r="9" spans="1:7" x14ac:dyDescent="0.25">
      <c r="A9" s="76"/>
      <c r="B9" s="213">
        <v>2006</v>
      </c>
      <c r="C9" s="292">
        <v>1.1961999999999999</v>
      </c>
      <c r="D9" s="77"/>
    </row>
    <row r="10" spans="1:7" x14ac:dyDescent="0.25">
      <c r="A10" s="76"/>
      <c r="B10" s="213">
        <v>2007</v>
      </c>
      <c r="C10" s="292">
        <v>1.1652</v>
      </c>
      <c r="D10" s="77"/>
    </row>
    <row r="11" spans="1:7" x14ac:dyDescent="0.25">
      <c r="A11" s="76"/>
      <c r="B11" s="213">
        <v>2008</v>
      </c>
      <c r="C11" s="292">
        <v>1.1428</v>
      </c>
      <c r="D11" s="77"/>
    </row>
    <row r="12" spans="1:7" x14ac:dyDescent="0.25">
      <c r="A12" s="76"/>
      <c r="B12" s="213">
        <v>2009</v>
      </c>
      <c r="C12" s="292">
        <v>1.1342000000000001</v>
      </c>
      <c r="D12" s="77"/>
    </row>
    <row r="13" spans="1:7" x14ac:dyDescent="0.25">
      <c r="A13" s="76"/>
      <c r="B13" s="213">
        <v>2010</v>
      </c>
      <c r="C13" s="292">
        <v>1.1205000000000001</v>
      </c>
      <c r="D13" s="77"/>
    </row>
    <row r="14" spans="1:7" x14ac:dyDescent="0.25">
      <c r="A14" s="76"/>
      <c r="B14" s="213">
        <v>2011</v>
      </c>
      <c r="C14" s="292">
        <v>1.0979000000000001</v>
      </c>
      <c r="D14" s="77"/>
    </row>
    <row r="15" spans="1:7" x14ac:dyDescent="0.25">
      <c r="A15" s="76"/>
      <c r="B15" s="213">
        <v>2012</v>
      </c>
      <c r="C15" s="292">
        <v>1.0780000000000001</v>
      </c>
      <c r="D15" s="77"/>
    </row>
    <row r="16" spans="1:7" x14ac:dyDescent="0.25">
      <c r="A16" s="76"/>
      <c r="B16" s="213">
        <v>2013</v>
      </c>
      <c r="C16" s="292">
        <v>1.0609</v>
      </c>
      <c r="D16" s="77"/>
    </row>
    <row r="17" spans="1:7" x14ac:dyDescent="0.25">
      <c r="A17" s="76"/>
      <c r="B17" s="213">
        <v>2014</v>
      </c>
      <c r="C17" s="292">
        <v>1.0422</v>
      </c>
      <c r="D17" s="77"/>
    </row>
    <row r="18" spans="1:7" x14ac:dyDescent="0.25">
      <c r="A18" s="76"/>
      <c r="B18" s="213">
        <v>2015</v>
      </c>
      <c r="C18" s="292">
        <v>1.0309999999999999</v>
      </c>
      <c r="D18" s="77"/>
    </row>
    <row r="19" spans="1:7" x14ac:dyDescent="0.25">
      <c r="A19" s="76"/>
      <c r="B19" s="213">
        <v>2016</v>
      </c>
      <c r="C19" s="292">
        <v>1.018</v>
      </c>
      <c r="D19" s="77"/>
    </row>
    <row r="20" spans="1:7" x14ac:dyDescent="0.25">
      <c r="A20" s="76"/>
      <c r="B20" s="214">
        <v>2017</v>
      </c>
      <c r="C20" s="293">
        <v>1</v>
      </c>
      <c r="D20" s="77"/>
    </row>
    <row r="21" spans="1:7" x14ac:dyDescent="0.25">
      <c r="A21" s="76"/>
      <c r="B21" s="77"/>
      <c r="C21" s="215"/>
      <c r="D21" s="77"/>
    </row>
    <row r="22" spans="1:7" x14ac:dyDescent="0.25">
      <c r="A22" s="76"/>
      <c r="B22" s="76"/>
      <c r="C22" s="76"/>
      <c r="D22" s="77"/>
    </row>
    <row r="23" spans="1:7" ht="14.45" customHeight="1" x14ac:dyDescent="0.25">
      <c r="A23" s="288" t="s">
        <v>53</v>
      </c>
      <c r="B23" s="289" t="str">
        <f>'Monetized Values and Factors'!B2</f>
        <v>Benefit-Cost Analysis Guidance for Discretionary Grant Programs - December 2018</v>
      </c>
      <c r="C23" s="219"/>
      <c r="D23" s="77"/>
    </row>
    <row r="24" spans="1:7" x14ac:dyDescent="0.25">
      <c r="A24" s="76"/>
      <c r="B24" s="218"/>
      <c r="C24" s="218"/>
      <c r="D24" s="76"/>
      <c r="E24" s="76"/>
      <c r="F24" s="76"/>
      <c r="G24" s="76"/>
    </row>
    <row r="25" spans="1:7" ht="15" customHeight="1" x14ac:dyDescent="0.25">
      <c r="B25" s="218"/>
      <c r="C25" s="218"/>
      <c r="D25" s="75"/>
    </row>
    <row r="26" spans="1:7" x14ac:dyDescent="0.25">
      <c r="B26" s="218"/>
      <c r="C26" s="218"/>
      <c r="D26" s="75"/>
    </row>
    <row r="27" spans="1:7" x14ac:dyDescent="0.25">
      <c r="D27" s="75"/>
    </row>
    <row r="28" spans="1:7" x14ac:dyDescent="0.25">
      <c r="A28" s="59" t="s">
        <v>308</v>
      </c>
      <c r="C28" s="309">
        <f>1/1.02071</f>
        <v>0.97971020172233048</v>
      </c>
    </row>
    <row r="29" spans="1:7" x14ac:dyDescent="0.25">
      <c r="A29" s="59" t="s">
        <v>393</v>
      </c>
      <c r="C29" s="309">
        <f>1/1.03654</f>
        <v>0.96474810426997515</v>
      </c>
    </row>
    <row r="30" spans="1:7" x14ac:dyDescent="0.25">
      <c r="A30" s="308" t="s">
        <v>392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A95"/>
  <sheetViews>
    <sheetView topLeftCell="T7" zoomScale="60" zoomScaleNormal="60" workbookViewId="0">
      <selection activeCell="BH54" sqref="BH54:BI54"/>
    </sheetView>
  </sheetViews>
  <sheetFormatPr defaultColWidth="9.140625" defaultRowHeight="15" x14ac:dyDescent="0.25"/>
  <cols>
    <col min="1" max="1" width="9.140625" style="3"/>
    <col min="2" max="2" width="15.28515625" style="3" customWidth="1"/>
    <col min="3" max="10" width="9.140625" style="3"/>
    <col min="11" max="11" width="9.140625" style="3" customWidth="1"/>
    <col min="12" max="28" width="9.140625" style="3"/>
    <col min="29" max="29" width="10.140625" style="3" bestFit="1" customWidth="1"/>
    <col min="30" max="37" width="9.140625" style="3"/>
    <col min="38" max="38" width="10.140625" style="3" bestFit="1" customWidth="1"/>
    <col min="39" max="46" width="9.140625" style="3"/>
    <col min="47" max="47" width="11.140625" style="3" bestFit="1" customWidth="1"/>
    <col min="48" max="55" width="9.140625" style="3"/>
    <col min="56" max="56" width="10.42578125" style="3" bestFit="1" customWidth="1"/>
    <col min="57" max="64" width="9.140625" style="3"/>
    <col min="65" max="65" width="10.140625" style="3" bestFit="1" customWidth="1"/>
    <col min="66" max="73" width="9.140625" style="3"/>
    <col min="74" max="74" width="10.42578125" style="3" bestFit="1" customWidth="1"/>
    <col min="75" max="16384" width="9.140625" style="3"/>
  </cols>
  <sheetData>
    <row r="2" spans="2:79" ht="18.75" x14ac:dyDescent="0.3">
      <c r="B2" s="228" t="s">
        <v>57</v>
      </c>
      <c r="C2" s="229"/>
      <c r="D2" s="229"/>
      <c r="E2" s="230"/>
      <c r="F2" s="229"/>
      <c r="G2" s="229"/>
      <c r="H2" s="229"/>
      <c r="I2" s="229"/>
      <c r="J2" s="229"/>
      <c r="K2" s="229"/>
      <c r="L2" s="231"/>
      <c r="M2" s="231"/>
      <c r="N2" s="231"/>
      <c r="O2" s="229"/>
      <c r="P2" s="229"/>
      <c r="Q2" s="229"/>
      <c r="R2" s="229"/>
      <c r="S2" s="229"/>
      <c r="T2" s="229"/>
      <c r="U2" s="229"/>
      <c r="V2" s="229"/>
      <c r="W2" s="229"/>
      <c r="X2" s="231"/>
    </row>
    <row r="3" spans="2:79" ht="15.75" thickBot="1" x14ac:dyDescent="0.3">
      <c r="B3" s="231"/>
      <c r="C3" s="229"/>
      <c r="D3" s="229"/>
      <c r="E3" s="229"/>
      <c r="F3" s="229"/>
      <c r="G3" s="229"/>
      <c r="H3" s="229"/>
      <c r="I3" s="229"/>
      <c r="J3" s="229"/>
      <c r="K3" s="229"/>
      <c r="L3" s="231"/>
      <c r="M3" s="231"/>
      <c r="N3" s="231"/>
      <c r="O3" s="229"/>
      <c r="P3" s="229"/>
      <c r="Q3" s="229"/>
      <c r="R3" s="229"/>
      <c r="S3" s="229"/>
      <c r="T3" s="229"/>
      <c r="U3" s="229"/>
      <c r="V3" s="229"/>
      <c r="W3" s="229"/>
      <c r="X3" s="231"/>
    </row>
    <row r="4" spans="2:79" ht="15.75" thickTop="1" x14ac:dyDescent="0.25">
      <c r="B4" s="232"/>
      <c r="C4" s="233"/>
      <c r="D4" s="233"/>
      <c r="E4" s="233"/>
      <c r="F4" s="233"/>
      <c r="G4" s="233"/>
      <c r="H4" s="233"/>
      <c r="I4" s="233"/>
      <c r="J4" s="233"/>
      <c r="K4" s="233"/>
      <c r="L4" s="234"/>
      <c r="M4" s="231"/>
      <c r="N4" s="232"/>
      <c r="O4" s="233"/>
      <c r="P4" s="233"/>
      <c r="Q4" s="233"/>
      <c r="R4" s="233"/>
      <c r="S4" s="233"/>
      <c r="T4" s="233"/>
      <c r="U4" s="233"/>
      <c r="V4" s="233"/>
      <c r="W4" s="233"/>
      <c r="X4" s="234"/>
    </row>
    <row r="5" spans="2:79" x14ac:dyDescent="0.25">
      <c r="B5" s="235"/>
      <c r="C5" s="236" t="s">
        <v>58</v>
      </c>
      <c r="D5" s="237"/>
      <c r="E5" s="237"/>
      <c r="F5" s="237"/>
      <c r="G5" s="237"/>
      <c r="H5" s="237"/>
      <c r="I5" s="237"/>
      <c r="J5" s="237"/>
      <c r="K5" s="237"/>
      <c r="L5" s="238"/>
      <c r="M5" s="231"/>
      <c r="N5" s="235"/>
      <c r="O5" s="236" t="s">
        <v>58</v>
      </c>
      <c r="P5" s="237"/>
      <c r="Q5" s="237"/>
      <c r="R5" s="237"/>
      <c r="S5" s="237"/>
      <c r="T5" s="237"/>
      <c r="U5" s="237"/>
      <c r="V5" s="237"/>
      <c r="W5" s="237"/>
      <c r="X5" s="238"/>
    </row>
    <row r="6" spans="2:79" x14ac:dyDescent="0.25">
      <c r="B6" s="235"/>
      <c r="C6" s="239" t="s">
        <v>275</v>
      </c>
      <c r="D6" s="237"/>
      <c r="E6" s="237"/>
      <c r="F6" s="237"/>
      <c r="G6" s="237"/>
      <c r="H6" s="237"/>
      <c r="I6" s="237"/>
      <c r="J6" s="237"/>
      <c r="K6" s="237"/>
      <c r="L6" s="238"/>
      <c r="M6" s="231"/>
      <c r="N6" s="235"/>
      <c r="O6" s="239" t="s">
        <v>276</v>
      </c>
      <c r="P6" s="237"/>
      <c r="Q6" s="237"/>
      <c r="R6" s="237"/>
      <c r="S6" s="237"/>
      <c r="T6" s="237"/>
      <c r="U6" s="237"/>
      <c r="V6" s="237"/>
      <c r="W6" s="237"/>
      <c r="X6" s="238"/>
    </row>
    <row r="7" spans="2:79" x14ac:dyDescent="0.25">
      <c r="B7" s="235"/>
      <c r="C7" s="240"/>
      <c r="D7" s="229"/>
      <c r="E7" s="229"/>
      <c r="F7" s="229"/>
      <c r="G7" s="229"/>
      <c r="H7" s="229"/>
      <c r="I7" s="229"/>
      <c r="J7" s="229"/>
      <c r="K7" s="229"/>
      <c r="L7" s="238"/>
      <c r="M7" s="231"/>
      <c r="N7" s="235"/>
      <c r="O7" s="240"/>
      <c r="P7" s="229"/>
      <c r="Q7" s="229"/>
      <c r="R7" s="229"/>
      <c r="S7" s="229"/>
      <c r="T7" s="229"/>
      <c r="U7" s="229"/>
      <c r="V7" s="229"/>
      <c r="W7" s="229"/>
      <c r="X7" s="238"/>
      <c r="AA7" s="241" t="s">
        <v>387</v>
      </c>
      <c r="AJ7" s="241" t="s">
        <v>212</v>
      </c>
      <c r="AS7" s="241" t="s">
        <v>388</v>
      </c>
      <c r="BB7" s="241" t="s">
        <v>389</v>
      </c>
      <c r="BK7" s="241" t="s">
        <v>87</v>
      </c>
      <c r="BT7" s="241" t="s">
        <v>213</v>
      </c>
    </row>
    <row r="8" spans="2:79" x14ac:dyDescent="0.25">
      <c r="B8" s="235"/>
      <c r="C8" s="242" t="s">
        <v>59</v>
      </c>
      <c r="D8" s="242" t="s">
        <v>60</v>
      </c>
      <c r="E8" s="243" t="s">
        <v>55</v>
      </c>
      <c r="F8" s="244" t="s">
        <v>374</v>
      </c>
      <c r="G8" s="245" t="s">
        <v>375</v>
      </c>
      <c r="H8" s="245" t="s">
        <v>376</v>
      </c>
      <c r="I8" s="245" t="s">
        <v>377</v>
      </c>
      <c r="J8" s="245" t="s">
        <v>56</v>
      </c>
      <c r="K8" s="388" t="s">
        <v>373</v>
      </c>
      <c r="L8" s="238"/>
      <c r="M8" s="231"/>
      <c r="N8" s="235"/>
      <c r="O8" s="242" t="s">
        <v>59</v>
      </c>
      <c r="P8" s="242" t="s">
        <v>60</v>
      </c>
      <c r="Q8" s="243" t="s">
        <v>55</v>
      </c>
      <c r="R8" s="244" t="s">
        <v>374</v>
      </c>
      <c r="S8" s="245" t="s">
        <v>375</v>
      </c>
      <c r="T8" s="245" t="s">
        <v>376</v>
      </c>
      <c r="U8" s="245" t="s">
        <v>377</v>
      </c>
      <c r="V8" s="245" t="s">
        <v>56</v>
      </c>
      <c r="W8" s="388" t="s">
        <v>373</v>
      </c>
      <c r="X8" s="238"/>
      <c r="AA8" s="246"/>
      <c r="AB8" s="243" t="s">
        <v>55</v>
      </c>
      <c r="AC8" s="244" t="s">
        <v>374</v>
      </c>
      <c r="AD8" s="245" t="s">
        <v>375</v>
      </c>
      <c r="AE8" s="245" t="s">
        <v>376</v>
      </c>
      <c r="AF8" s="245" t="s">
        <v>377</v>
      </c>
      <c r="AG8" s="245" t="s">
        <v>56</v>
      </c>
      <c r="AH8" s="388" t="s">
        <v>373</v>
      </c>
      <c r="AJ8" s="246"/>
      <c r="AK8" s="243" t="s">
        <v>55</v>
      </c>
      <c r="AL8" s="244" t="s">
        <v>374</v>
      </c>
      <c r="AM8" s="245" t="s">
        <v>375</v>
      </c>
      <c r="AN8" s="245" t="s">
        <v>376</v>
      </c>
      <c r="AO8" s="245" t="s">
        <v>377</v>
      </c>
      <c r="AP8" s="245" t="s">
        <v>56</v>
      </c>
      <c r="AQ8" s="388" t="s">
        <v>373</v>
      </c>
      <c r="AS8" s="246"/>
      <c r="AT8" s="243" t="s">
        <v>55</v>
      </c>
      <c r="AU8" s="244" t="s">
        <v>374</v>
      </c>
      <c r="AV8" s="245" t="s">
        <v>375</v>
      </c>
      <c r="AW8" s="245" t="s">
        <v>376</v>
      </c>
      <c r="AX8" s="245" t="s">
        <v>377</v>
      </c>
      <c r="AY8" s="245" t="s">
        <v>56</v>
      </c>
      <c r="AZ8" s="388" t="s">
        <v>373</v>
      </c>
      <c r="BB8" s="246"/>
      <c r="BC8" s="243" t="s">
        <v>55</v>
      </c>
      <c r="BD8" s="244" t="s">
        <v>374</v>
      </c>
      <c r="BE8" s="245" t="s">
        <v>375</v>
      </c>
      <c r="BF8" s="245" t="s">
        <v>376</v>
      </c>
      <c r="BG8" s="245" t="s">
        <v>377</v>
      </c>
      <c r="BH8" s="245" t="s">
        <v>56</v>
      </c>
      <c r="BI8" s="388" t="s">
        <v>373</v>
      </c>
      <c r="BK8" s="246"/>
      <c r="BL8" s="243" t="s">
        <v>55</v>
      </c>
      <c r="BM8" s="244" t="s">
        <v>374</v>
      </c>
      <c r="BN8" s="245" t="s">
        <v>375</v>
      </c>
      <c r="BO8" s="245" t="s">
        <v>376</v>
      </c>
      <c r="BP8" s="245" t="s">
        <v>377</v>
      </c>
      <c r="BQ8" s="245" t="s">
        <v>56</v>
      </c>
      <c r="BR8" s="388" t="s">
        <v>373</v>
      </c>
      <c r="BT8" s="246"/>
      <c r="BU8" s="243" t="s">
        <v>55</v>
      </c>
      <c r="BV8" s="244" t="s">
        <v>374</v>
      </c>
      <c r="BW8" s="245" t="s">
        <v>375</v>
      </c>
      <c r="BX8" s="245" t="s">
        <v>376</v>
      </c>
      <c r="BY8" s="245" t="s">
        <v>377</v>
      </c>
      <c r="BZ8" s="245" t="s">
        <v>56</v>
      </c>
      <c r="CA8" s="388" t="s">
        <v>373</v>
      </c>
    </row>
    <row r="9" spans="2:79" x14ac:dyDescent="0.25">
      <c r="B9" s="235"/>
      <c r="C9" s="247" t="s">
        <v>3</v>
      </c>
      <c r="D9" s="247">
        <v>0</v>
      </c>
      <c r="E9" s="391">
        <v>4.8571999999999997</v>
      </c>
      <c r="F9" s="392">
        <v>39.192900000000002</v>
      </c>
      <c r="G9" s="389">
        <v>1.7997000000000001</v>
      </c>
      <c r="H9" s="389">
        <v>1.5E-3</v>
      </c>
      <c r="I9" s="389">
        <v>0.27739999999999998</v>
      </c>
      <c r="J9" s="393">
        <v>0.41749999999999998</v>
      </c>
      <c r="K9" s="390">
        <v>1.2999999999999999E-3</v>
      </c>
      <c r="L9" s="238"/>
      <c r="M9" s="231"/>
      <c r="N9" s="235"/>
      <c r="O9" s="248" t="s">
        <v>3</v>
      </c>
      <c r="P9" s="247">
        <v>0</v>
      </c>
      <c r="Q9" s="408">
        <v>1.8187</v>
      </c>
      <c r="R9" s="409">
        <v>31.725100000000001</v>
      </c>
      <c r="S9" s="406">
        <v>3.593</v>
      </c>
      <c r="T9" s="406">
        <v>5.9999999999999995E-4</v>
      </c>
      <c r="U9" s="406">
        <v>2.9999999999999997E-4</v>
      </c>
      <c r="V9" s="410">
        <v>0.11070000000000001</v>
      </c>
      <c r="W9" s="407">
        <v>5.0000000000000001E-4</v>
      </c>
      <c r="X9" s="238"/>
      <c r="AA9" s="246">
        <v>2016</v>
      </c>
      <c r="AB9" s="249">
        <f>E56</f>
        <v>0.95650000000000002</v>
      </c>
      <c r="AC9" s="249">
        <f t="shared" ref="AC9:AH9" si="0">F56</f>
        <v>1133.0389</v>
      </c>
      <c r="AD9" s="249">
        <f t="shared" si="0"/>
        <v>4.1048999999999998</v>
      </c>
      <c r="AE9" s="249">
        <f t="shared" si="0"/>
        <v>5.6500000000000002E-2</v>
      </c>
      <c r="AF9" s="249">
        <f t="shared" si="0"/>
        <v>1.09E-2</v>
      </c>
      <c r="AG9" s="249">
        <f t="shared" si="0"/>
        <v>0.11899999999999999</v>
      </c>
      <c r="AH9" s="250">
        <f t="shared" si="0"/>
        <v>5.4100000000000002E-2</v>
      </c>
      <c r="AJ9" s="246">
        <v>2016</v>
      </c>
      <c r="AK9" s="249">
        <f t="shared" ref="AK9:AQ9" si="1">E59</f>
        <v>0.88419999999999999</v>
      </c>
      <c r="AL9" s="249">
        <f t="shared" si="1"/>
        <v>1181.6659</v>
      </c>
      <c r="AM9" s="249">
        <f t="shared" si="1"/>
        <v>4.2610000000000001</v>
      </c>
      <c r="AN9" s="249">
        <f t="shared" si="1"/>
        <v>6.54E-2</v>
      </c>
      <c r="AO9" s="249">
        <f t="shared" si="1"/>
        <v>1.1299999999999999E-2</v>
      </c>
      <c r="AP9" s="249">
        <f t="shared" si="1"/>
        <v>0.1182</v>
      </c>
      <c r="AQ9" s="250">
        <f t="shared" si="1"/>
        <v>6.2600000000000003E-2</v>
      </c>
      <c r="AS9" s="246">
        <v>2016</v>
      </c>
      <c r="AT9" s="249">
        <f>E64</f>
        <v>0.87280000000000002</v>
      </c>
      <c r="AU9" s="249">
        <f t="shared" ref="AU9:AZ9" si="2">F64</f>
        <v>1144.7073</v>
      </c>
      <c r="AV9" s="249">
        <f t="shared" si="2"/>
        <v>4.0031999999999996</v>
      </c>
      <c r="AW9" s="249">
        <f t="shared" si="2"/>
        <v>7.5700000000000003E-2</v>
      </c>
      <c r="AX9" s="249">
        <f t="shared" si="2"/>
        <v>1.0999999999999999E-2</v>
      </c>
      <c r="AY9" s="249">
        <f t="shared" si="2"/>
        <v>0.1162</v>
      </c>
      <c r="AZ9" s="250">
        <f t="shared" si="2"/>
        <v>7.2499999999999995E-2</v>
      </c>
      <c r="BB9" s="246">
        <v>2016</v>
      </c>
      <c r="BC9" s="249">
        <f>E67</f>
        <v>0.90280000000000005</v>
      </c>
      <c r="BD9" s="249">
        <f t="shared" ref="BD9:BI9" si="3">F67</f>
        <v>1132.0663999999999</v>
      </c>
      <c r="BE9" s="249">
        <f t="shared" si="3"/>
        <v>3.9243999999999999</v>
      </c>
      <c r="BF9" s="249">
        <f t="shared" si="3"/>
        <v>7.2499999999999995E-2</v>
      </c>
      <c r="BG9" s="249">
        <f t="shared" si="3"/>
        <v>1.09E-2</v>
      </c>
      <c r="BH9" s="249">
        <f t="shared" si="3"/>
        <v>0.1145</v>
      </c>
      <c r="BI9" s="250">
        <f t="shared" si="3"/>
        <v>6.9400000000000003E-2</v>
      </c>
      <c r="BK9" s="246">
        <v>2016</v>
      </c>
      <c r="BL9" s="249">
        <f t="shared" ref="BL9:BR9" si="4">E73</f>
        <v>0.87070000000000003</v>
      </c>
      <c r="BM9" s="249">
        <f t="shared" si="4"/>
        <v>1187.1651999999999</v>
      </c>
      <c r="BN9" s="249">
        <f t="shared" si="4"/>
        <v>3.8837000000000002</v>
      </c>
      <c r="BO9" s="249">
        <f t="shared" si="4"/>
        <v>5.4399999999999997E-2</v>
      </c>
      <c r="BP9" s="249">
        <f t="shared" si="4"/>
        <v>1.14E-2</v>
      </c>
      <c r="BQ9" s="249">
        <f t="shared" si="4"/>
        <v>0.1042</v>
      </c>
      <c r="BR9" s="250">
        <f t="shared" si="4"/>
        <v>5.21E-2</v>
      </c>
      <c r="BT9" s="246">
        <v>2016</v>
      </c>
      <c r="BU9" s="249">
        <f t="shared" ref="BU9:CA9" si="5">E74</f>
        <v>0.84660000000000002</v>
      </c>
      <c r="BV9" s="249">
        <f t="shared" si="5"/>
        <v>1205.2059999999999</v>
      </c>
      <c r="BW9" s="249">
        <f t="shared" si="5"/>
        <v>3.8708</v>
      </c>
      <c r="BX9" s="249">
        <f t="shared" si="5"/>
        <v>5.0900000000000001E-2</v>
      </c>
      <c r="BY9" s="249">
        <f t="shared" si="5"/>
        <v>1.15E-2</v>
      </c>
      <c r="BZ9" s="249">
        <f t="shared" si="5"/>
        <v>0.1014</v>
      </c>
      <c r="CA9" s="250">
        <f t="shared" si="5"/>
        <v>4.87E-2</v>
      </c>
    </row>
    <row r="10" spans="2:79" x14ac:dyDescent="0.25">
      <c r="B10" s="235"/>
      <c r="C10" s="247"/>
      <c r="D10" s="247">
        <v>5</v>
      </c>
      <c r="E10" s="391">
        <v>5.1802999999999999</v>
      </c>
      <c r="F10" s="392">
        <v>2187.6010000000001</v>
      </c>
      <c r="G10" s="389">
        <v>7.9756</v>
      </c>
      <c r="H10" s="389">
        <v>0.1137</v>
      </c>
      <c r="I10" s="389">
        <v>2.0199999999999999E-2</v>
      </c>
      <c r="J10" s="393">
        <v>1.0547</v>
      </c>
      <c r="K10" s="390">
        <v>0.1087</v>
      </c>
      <c r="L10" s="238"/>
      <c r="M10" s="231"/>
      <c r="N10" s="235"/>
      <c r="O10" s="248"/>
      <c r="P10" s="247">
        <v>5</v>
      </c>
      <c r="Q10" s="408">
        <v>4.6433</v>
      </c>
      <c r="R10" s="409">
        <v>2312.0740000000001</v>
      </c>
      <c r="S10" s="406">
        <v>10.1441</v>
      </c>
      <c r="T10" s="406">
        <v>1.29E-2</v>
      </c>
      <c r="U10" s="406">
        <v>1.9800000000000002E-2</v>
      </c>
      <c r="V10" s="410">
        <v>0.44269999999999998</v>
      </c>
      <c r="W10" s="407">
        <v>1.23E-2</v>
      </c>
      <c r="X10" s="238"/>
      <c r="AA10" s="252">
        <v>2017</v>
      </c>
      <c r="AB10" s="253">
        <f t="shared" ref="AB10:AB28" si="6">AB9*(1+AB$54)</f>
        <v>0.89572091476709881</v>
      </c>
      <c r="AC10" s="253">
        <f t="shared" ref="AC10:AC28" si="7">AC9*(1+AC$54)</f>
        <v>1133.1152311282701</v>
      </c>
      <c r="AD10" s="253">
        <f t="shared" ref="AD10:AD28" si="8">AD9*(1+AD$54)</f>
        <v>3.657472779617247</v>
      </c>
      <c r="AE10" s="253">
        <f t="shared" ref="AE10:AE28" si="9">AE9*(1+AE$54)</f>
        <v>4.973002290386986E-2</v>
      </c>
      <c r="AF10" s="253">
        <f t="shared" ref="AF10:AF28" si="10">AF9*(1+AF$54)</f>
        <v>1.0894978080189261E-2</v>
      </c>
      <c r="AG10" s="253">
        <f t="shared" ref="AG10:AH28" si="11">AG9*(1+AG$54)</f>
        <v>0.1108509036252512</v>
      </c>
      <c r="AH10" s="254">
        <f t="shared" si="11"/>
        <v>4.7610184708964276E-2</v>
      </c>
      <c r="AJ10" s="252">
        <v>2017</v>
      </c>
      <c r="AK10" s="253">
        <f t="shared" ref="AK10:AK28" si="12">AK9*(1+AK$54)</f>
        <v>0.82641042302944034</v>
      </c>
      <c r="AL10" s="253">
        <f t="shared" ref="AL10:AL28" si="13">AL9*(1+AL$54)</f>
        <v>1179.579972113512</v>
      </c>
      <c r="AM10" s="253">
        <f t="shared" ref="AM10:AM28" si="14">AM9*(1+AM$54)</f>
        <v>3.7682412465323005</v>
      </c>
      <c r="AN10" s="253">
        <f t="shared" ref="AN10:AN28" si="15">AN9*(1+AN$54)</f>
        <v>5.7011350056168066E-2</v>
      </c>
      <c r="AO10" s="253">
        <f t="shared" ref="AO10:AO28" si="16">AO9*(1+AO$54)</f>
        <v>1.1279655771509692E-2</v>
      </c>
      <c r="AP10" s="253">
        <f t="shared" ref="AP10:AQ28" si="17">AP9*(1+AP$54)</f>
        <v>0.1093663210322213</v>
      </c>
      <c r="AQ10" s="254">
        <f t="shared" si="17"/>
        <v>5.455676570931451E-2</v>
      </c>
      <c r="AS10" s="252">
        <v>2017</v>
      </c>
      <c r="AT10" s="253">
        <f t="shared" ref="AT10:AT28" si="18">AT9*(1+AT$54)</f>
        <v>0.80502418675774468</v>
      </c>
      <c r="AU10" s="253">
        <f t="shared" ref="AU10:AU28" si="19">AU9*(1+AU$54)</f>
        <v>1141.4554966771182</v>
      </c>
      <c r="AV10" s="253">
        <f t="shared" ref="AV10:AV28" si="20">AV9*(1+AV$54)</f>
        <v>3.513151696949127</v>
      </c>
      <c r="AW10" s="253">
        <f t="shared" ref="AW10:AW28" si="21">AW9*(1+AW$54)</f>
        <v>6.5267099950642796E-2</v>
      </c>
      <c r="AX10" s="253">
        <f t="shared" ref="AX10:AX28" si="22">AX9*(1+AX$54)</f>
        <v>1.0963896121851443E-2</v>
      </c>
      <c r="AY10" s="253">
        <f t="shared" ref="AY10:AZ28" si="23">AY9*(1+AY$54)</f>
        <v>0.10633326101258961</v>
      </c>
      <c r="AZ10" s="254">
        <f t="shared" si="23"/>
        <v>6.2478586044782396E-2</v>
      </c>
      <c r="BB10" s="252">
        <v>2017</v>
      </c>
      <c r="BC10" s="253">
        <f t="shared" ref="BC10:BC28" si="24">BC9*(1+BC$54)</f>
        <v>0.83004812419957341</v>
      </c>
      <c r="BD10" s="253">
        <f t="shared" ref="BD10:BD28" si="25">BD9*(1+BD$54)</f>
        <v>1129.1062746600346</v>
      </c>
      <c r="BE10" s="253">
        <f t="shared" ref="BE10:BE28" si="26">BE9*(1+BE$54)</f>
        <v>3.4448239514859873</v>
      </c>
      <c r="BF10" s="253">
        <f t="shared" ref="BF10:BF28" si="27">BF9*(1+BF$54)</f>
        <v>6.2722607687219836E-2</v>
      </c>
      <c r="BG10" s="253">
        <f t="shared" ref="BG10:BG28" si="28">BG9*(1+BG$54)</f>
        <v>1.0869186339234107E-2</v>
      </c>
      <c r="BH10" s="253">
        <f t="shared" ref="BH10:BI28" si="29">BH9*(1+BH$54)</f>
        <v>0.10482817279672858</v>
      </c>
      <c r="BI10" s="254">
        <f t="shared" si="29"/>
        <v>6.0017883579755633E-2</v>
      </c>
      <c r="BK10" s="252">
        <v>2017</v>
      </c>
      <c r="BL10" s="253">
        <f t="shared" ref="BL10:BL28" si="30">BL9*(1+BL$54)</f>
        <v>0.80290499687419925</v>
      </c>
      <c r="BM10" s="253">
        <f t="shared" ref="BM10:BM28" si="31">BM9*(1+BM$54)</f>
        <v>1184.658087579483</v>
      </c>
      <c r="BN10" s="253">
        <f t="shared" ref="BN10:BN28" si="32">BN9*(1+BN$54)</f>
        <v>3.4270877391277326</v>
      </c>
      <c r="BO10" s="253">
        <f t="shared" ref="BO10:BO28" si="33">BO9*(1+BO$54)</f>
        <v>4.791730426418335E-2</v>
      </c>
      <c r="BP10" s="253">
        <f t="shared" ref="BP10:BP28" si="34">BP9*(1+BP$54)</f>
        <v>1.1374463820789776E-2</v>
      </c>
      <c r="BQ10" s="253">
        <f t="shared" ref="BQ10:BR28" si="35">BQ9*(1+BQ$54)</f>
        <v>9.6404091679247725E-2</v>
      </c>
      <c r="BR10" s="254">
        <f t="shared" si="35"/>
        <v>4.5881227661797294E-2</v>
      </c>
      <c r="BT10" s="252">
        <v>2017</v>
      </c>
      <c r="BU10" s="253">
        <f t="shared" ref="BU10:BU28" si="36">BU9*(1+BU$54)</f>
        <v>0.78134408491389618</v>
      </c>
      <c r="BV10" s="253">
        <f t="shared" ref="BV10:BV28" si="37">BV9*(1+BV$54)</f>
        <v>1202.6516837224906</v>
      </c>
      <c r="BW10" s="253">
        <f t="shared" ref="BW10:BW28" si="38">BW9*(1+BW$54)</f>
        <v>3.4188302948256655</v>
      </c>
      <c r="BX10" s="253">
        <f t="shared" ref="BX10:BX28" si="39">BX9*(1+BX$54)</f>
        <v>4.4983714690952185E-2</v>
      </c>
      <c r="BY10" s="253">
        <f t="shared" ref="BY10:BY28" si="40">BY9*(1+BY$54)</f>
        <v>1.1474468619903125E-2</v>
      </c>
      <c r="BZ10" s="253">
        <f t="shared" ref="BZ10:CA28" si="41">BZ9*(1+BZ$54)</f>
        <v>9.4026107638501291E-2</v>
      </c>
      <c r="CA10" s="254">
        <f t="shared" si="41"/>
        <v>4.3032017311720648E-2</v>
      </c>
    </row>
    <row r="11" spans="2:79" x14ac:dyDescent="0.25">
      <c r="B11" s="235"/>
      <c r="C11" s="247"/>
      <c r="D11" s="247">
        <v>6</v>
      </c>
      <c r="E11" s="391">
        <v>4.9500999999999999</v>
      </c>
      <c r="F11" s="392">
        <v>2147.7779999999998</v>
      </c>
      <c r="G11" s="389">
        <v>7.8498999999999999</v>
      </c>
      <c r="H11" s="389">
        <v>0.114</v>
      </c>
      <c r="I11" s="389">
        <v>1.9900000000000001E-2</v>
      </c>
      <c r="J11" s="393">
        <v>1.0224</v>
      </c>
      <c r="K11" s="390">
        <v>0.1089</v>
      </c>
      <c r="L11" s="238"/>
      <c r="M11" s="231"/>
      <c r="N11" s="235"/>
      <c r="O11" s="248"/>
      <c r="P11" s="247">
        <v>6</v>
      </c>
      <c r="Q11" s="408">
        <v>4.3680000000000003</v>
      </c>
      <c r="R11" s="409">
        <v>2256.4263000000001</v>
      </c>
      <c r="S11" s="406">
        <v>9.6372</v>
      </c>
      <c r="T11" s="406">
        <v>1.24E-2</v>
      </c>
      <c r="U11" s="406">
        <v>1.9400000000000001E-2</v>
      </c>
      <c r="V11" s="410">
        <v>0.42109999999999997</v>
      </c>
      <c r="W11" s="407">
        <v>1.1900000000000001E-2</v>
      </c>
      <c r="X11" s="238"/>
      <c r="AA11" s="252">
        <v>2018</v>
      </c>
      <c r="AB11" s="253">
        <f t="shared" si="6"/>
        <v>0.83880392802008186</v>
      </c>
      <c r="AC11" s="253">
        <f t="shared" si="7"/>
        <v>1133.1915673988537</v>
      </c>
      <c r="AD11" s="253">
        <f t="shared" si="8"/>
        <v>3.2588143763894646</v>
      </c>
      <c r="AE11" s="253">
        <f t="shared" si="9"/>
        <v>4.3771242088839306E-2</v>
      </c>
      <c r="AF11" s="253">
        <f t="shared" si="10"/>
        <v>1.0889958474110503E-2</v>
      </c>
      <c r="AG11" s="253">
        <f t="shared" si="11"/>
        <v>0.10325985575239269</v>
      </c>
      <c r="AH11" s="254">
        <f t="shared" ref="AH11" si="42">AH10*(1+AH$54)</f>
        <v>4.1898885176001766E-2</v>
      </c>
      <c r="AJ11" s="252">
        <v>2018</v>
      </c>
      <c r="AK11" s="253">
        <f t="shared" si="12"/>
        <v>0.77239785941155681</v>
      </c>
      <c r="AL11" s="253">
        <f t="shared" si="13"/>
        <v>1177.4977263973799</v>
      </c>
      <c r="AM11" s="253">
        <f t="shared" si="14"/>
        <v>3.3324670481265679</v>
      </c>
      <c r="AN11" s="253">
        <f t="shared" si="15"/>
        <v>4.9698685553928666E-2</v>
      </c>
      <c r="AO11" s="253">
        <f t="shared" si="16"/>
        <v>1.1259348170243533E-2</v>
      </c>
      <c r="AP11" s="253">
        <f t="shared" si="17"/>
        <v>0.10119282720916151</v>
      </c>
      <c r="AQ11" s="254">
        <f t="shared" si="17"/>
        <v>4.7546975793307279E-2</v>
      </c>
      <c r="AS11" s="252">
        <v>2018</v>
      </c>
      <c r="AT11" s="253">
        <f t="shared" si="18"/>
        <v>0.74251139008360234</v>
      </c>
      <c r="AU11" s="253">
        <f t="shared" si="19"/>
        <v>1138.2129308465198</v>
      </c>
      <c r="AV11" s="253">
        <f t="shared" si="20"/>
        <v>3.0830922376540095</v>
      </c>
      <c r="AW11" s="253">
        <f t="shared" si="21"/>
        <v>5.6272051994282646E-2</v>
      </c>
      <c r="AX11" s="253">
        <f t="shared" si="22"/>
        <v>1.0927910742795375E-2</v>
      </c>
      <c r="AY11" s="253">
        <f t="shared" si="23"/>
        <v>9.7304323559135195E-2</v>
      </c>
      <c r="AZ11" s="254">
        <f t="shared" si="23"/>
        <v>5.3842396057314175E-2</v>
      </c>
      <c r="BB11" s="252">
        <v>2018</v>
      </c>
      <c r="BC11" s="253">
        <f t="shared" si="24"/>
        <v>0.76315893718124772</v>
      </c>
      <c r="BD11" s="253">
        <f t="shared" si="25"/>
        <v>1126.1538894508851</v>
      </c>
      <c r="BE11" s="253">
        <f t="shared" si="26"/>
        <v>3.0238538519854075</v>
      </c>
      <c r="BF11" s="253">
        <f t="shared" si="27"/>
        <v>5.4263800208067439E-2</v>
      </c>
      <c r="BG11" s="253">
        <f t="shared" si="28"/>
        <v>1.0838459786880124E-2</v>
      </c>
      <c r="BH11" s="253">
        <f t="shared" si="29"/>
        <v>9.5973325868129136E-2</v>
      </c>
      <c r="BI11" s="254">
        <f t="shared" si="29"/>
        <v>5.1904126071946693E-2</v>
      </c>
      <c r="BK11" s="252">
        <v>2018</v>
      </c>
      <c r="BL11" s="253">
        <f t="shared" si="30"/>
        <v>0.74038869186350975</v>
      </c>
      <c r="BM11" s="253">
        <f t="shared" si="31"/>
        <v>1182.1562697992479</v>
      </c>
      <c r="BN11" s="253">
        <f t="shared" si="32"/>
        <v>3.0241600462650648</v>
      </c>
      <c r="BO11" s="253">
        <f t="shared" si="33"/>
        <v>4.2207133234307428E-2</v>
      </c>
      <c r="BP11" s="253">
        <f t="shared" si="34"/>
        <v>1.1348984843022415E-2</v>
      </c>
      <c r="BQ11" s="253">
        <f t="shared" si="35"/>
        <v>8.9191448104614213E-2</v>
      </c>
      <c r="BR11" s="254">
        <f t="shared" si="35"/>
        <v>4.040474187627012E-2</v>
      </c>
      <c r="BT11" s="252">
        <v>2018</v>
      </c>
      <c r="BU11" s="253">
        <f t="shared" si="36"/>
        <v>0.72111809476722633</v>
      </c>
      <c r="BV11" s="253">
        <f t="shared" si="37"/>
        <v>1200.1027810685821</v>
      </c>
      <c r="BW11" s="253">
        <f t="shared" si="38"/>
        <v>3.0196343352324444</v>
      </c>
      <c r="BX11" s="253">
        <f t="shared" si="39"/>
        <v>3.9755099948860263E-2</v>
      </c>
      <c r="BY11" s="253">
        <f t="shared" si="40"/>
        <v>1.1448993922534047E-2</v>
      </c>
      <c r="BZ11" s="253">
        <f t="shared" si="41"/>
        <v>8.7188450864369132E-2</v>
      </c>
      <c r="CA11" s="254">
        <f t="shared" si="41"/>
        <v>3.8023706651257198E-2</v>
      </c>
    </row>
    <row r="12" spans="2:79" x14ac:dyDescent="0.25">
      <c r="B12" s="235"/>
      <c r="C12" s="247"/>
      <c r="D12" s="247">
        <v>7</v>
      </c>
      <c r="E12" s="391">
        <v>4.72</v>
      </c>
      <c r="F12" s="392">
        <v>2107.9551000000001</v>
      </c>
      <c r="G12" s="389">
        <v>7.7241999999999997</v>
      </c>
      <c r="H12" s="389">
        <v>0.1143</v>
      </c>
      <c r="I12" s="389">
        <v>1.95E-2</v>
      </c>
      <c r="J12" s="393">
        <v>0.99009999999999998</v>
      </c>
      <c r="K12" s="390">
        <v>0.10920000000000001</v>
      </c>
      <c r="L12" s="238"/>
      <c r="M12" s="231"/>
      <c r="N12" s="235"/>
      <c r="O12" s="248"/>
      <c r="P12" s="247">
        <v>7</v>
      </c>
      <c r="Q12" s="408">
        <v>4.0926999999999998</v>
      </c>
      <c r="R12" s="409">
        <v>2200.7786000000001</v>
      </c>
      <c r="S12" s="406">
        <v>9.1303000000000001</v>
      </c>
      <c r="T12" s="406">
        <v>1.2E-2</v>
      </c>
      <c r="U12" s="406">
        <v>1.9E-2</v>
      </c>
      <c r="V12" s="410">
        <v>0.39960000000000001</v>
      </c>
      <c r="W12" s="407">
        <v>1.14E-2</v>
      </c>
      <c r="X12" s="238"/>
      <c r="AA12" s="252">
        <v>2019</v>
      </c>
      <c r="AB12" s="253">
        <f t="shared" si="6"/>
        <v>0.78550362960416464</v>
      </c>
      <c r="AC12" s="253">
        <f t="shared" si="7"/>
        <v>1133.2679088120972</v>
      </c>
      <c r="AD12" s="253">
        <f>AD11*(1+AD$54)</f>
        <v>2.9036090709809792</v>
      </c>
      <c r="AE12" s="253">
        <f t="shared" si="9"/>
        <v>3.8526457904580723E-2</v>
      </c>
      <c r="AF12" s="253">
        <f t="shared" si="10"/>
        <v>1.0884941180697728E-2</v>
      </c>
      <c r="AG12" s="253">
        <f t="shared" si="11"/>
        <v>9.6188641330805236E-2</v>
      </c>
      <c r="AH12" s="254">
        <f t="shared" ref="AH12" si="43">AH11*(1+AH$54)</f>
        <v>3.6872710948782424E-2</v>
      </c>
      <c r="AJ12" s="252">
        <v>2019</v>
      </c>
      <c r="AK12" s="253">
        <f t="shared" si="12"/>
        <v>0.72191545096509713</v>
      </c>
      <c r="AL12" s="253">
        <f t="shared" si="13"/>
        <v>1175.419156351677</v>
      </c>
      <c r="AM12" s="253">
        <f t="shared" si="14"/>
        <v>2.9470874873175954</v>
      </c>
      <c r="AN12" s="253">
        <f t="shared" si="15"/>
        <v>4.3323993263707193E-2</v>
      </c>
      <c r="AO12" s="253">
        <f t="shared" si="16"/>
        <v>1.1239077130258813E-2</v>
      </c>
      <c r="AP12" s="253">
        <f t="shared" si="17"/>
        <v>9.3630179583039388E-2</v>
      </c>
      <c r="AQ12" s="254">
        <f t="shared" si="17"/>
        <v>4.1437846941564112E-2</v>
      </c>
      <c r="AS12" s="252">
        <v>2019</v>
      </c>
      <c r="AT12" s="253">
        <f t="shared" si="18"/>
        <v>0.68485291929470038</v>
      </c>
      <c r="AU12" s="253">
        <f t="shared" si="19"/>
        <v>1134.9795762669921</v>
      </c>
      <c r="AV12" s="253">
        <f t="shared" si="20"/>
        <v>2.7056781391299123</v>
      </c>
      <c r="AW12" s="253">
        <f t="shared" si="21"/>
        <v>4.8516692760087361E-2</v>
      </c>
      <c r="AX12" s="253">
        <f t="shared" si="22"/>
        <v>1.089204347389754E-2</v>
      </c>
      <c r="AY12" s="253">
        <f t="shared" si="23"/>
        <v>8.904204849111011E-2</v>
      </c>
      <c r="AZ12" s="254">
        <f t="shared" si="23"/>
        <v>4.639995551619526E-2</v>
      </c>
      <c r="BB12" s="252">
        <v>2019</v>
      </c>
      <c r="BC12" s="253">
        <f t="shared" si="24"/>
        <v>0.70165999587221395</v>
      </c>
      <c r="BD12" s="253">
        <f t="shared" si="25"/>
        <v>1123.2092241336704</v>
      </c>
      <c r="BE12" s="253">
        <f t="shared" si="26"/>
        <v>2.6543278399532402</v>
      </c>
      <c r="BF12" s="253">
        <f t="shared" si="27"/>
        <v>4.6945752442321277E-2</v>
      </c>
      <c r="BG12" s="253">
        <f t="shared" si="28"/>
        <v>1.0807820096687674E-2</v>
      </c>
      <c r="BH12" s="253">
        <f t="shared" si="29"/>
        <v>8.7866448803327349E-2</v>
      </c>
      <c r="BI12" s="254">
        <f t="shared" si="29"/>
        <v>4.488725930684518E-2</v>
      </c>
      <c r="BK12" s="252">
        <v>2019</v>
      </c>
      <c r="BL12" s="253">
        <f t="shared" si="30"/>
        <v>0.68274007158190397</v>
      </c>
      <c r="BM12" s="253">
        <f t="shared" si="31"/>
        <v>1179.6597354778194</v>
      </c>
      <c r="BN12" s="253">
        <f t="shared" si="32"/>
        <v>2.6686051486250122</v>
      </c>
      <c r="BO12" s="253">
        <f t="shared" si="33"/>
        <v>3.7177427303441805E-2</v>
      </c>
      <c r="BP12" s="253">
        <f t="shared" si="34"/>
        <v>1.1323562938565788E-2</v>
      </c>
      <c r="BQ12" s="253">
        <f t="shared" si="35"/>
        <v>8.2518431286776342E-2</v>
      </c>
      <c r="BR12" s="254">
        <f t="shared" si="35"/>
        <v>3.5581941662980884E-2</v>
      </c>
      <c r="BT12" s="252">
        <v>2019</v>
      </c>
      <c r="BU12" s="253">
        <f t="shared" si="36"/>
        <v>0.66553432302238447</v>
      </c>
      <c r="BV12" s="253">
        <f t="shared" si="37"/>
        <v>1197.5592805646286</v>
      </c>
      <c r="BW12" s="253">
        <f t="shared" si="38"/>
        <v>2.6670500528543042</v>
      </c>
      <c r="BX12" s="253">
        <f t="shared" si="39"/>
        <v>3.5134225414731199E-2</v>
      </c>
      <c r="BY12" s="253">
        <f t="shared" si="40"/>
        <v>1.1423575782050307E-2</v>
      </c>
      <c r="BZ12" s="253">
        <f t="shared" si="41"/>
        <v>8.0848034179559686E-2</v>
      </c>
      <c r="CA12" s="254">
        <f t="shared" si="41"/>
        <v>3.3598291640096249E-2</v>
      </c>
    </row>
    <row r="13" spans="2:79" x14ac:dyDescent="0.25">
      <c r="B13" s="235"/>
      <c r="C13" s="247"/>
      <c r="D13" s="247">
        <v>8</v>
      </c>
      <c r="E13" s="391">
        <v>4.4897999999999998</v>
      </c>
      <c r="F13" s="392">
        <v>2068.1322</v>
      </c>
      <c r="G13" s="389">
        <v>7.5986000000000002</v>
      </c>
      <c r="H13" s="389">
        <v>0.11459999999999999</v>
      </c>
      <c r="I13" s="389">
        <v>1.9199999999999998E-2</v>
      </c>
      <c r="J13" s="393">
        <v>0.95789999999999997</v>
      </c>
      <c r="K13" s="390">
        <v>0.1095</v>
      </c>
      <c r="L13" s="238"/>
      <c r="M13" s="231"/>
      <c r="N13" s="235"/>
      <c r="O13" s="248"/>
      <c r="P13" s="247">
        <v>8</v>
      </c>
      <c r="Q13" s="408">
        <v>3.8174000000000001</v>
      </c>
      <c r="R13" s="409">
        <v>2145.1309999999999</v>
      </c>
      <c r="S13" s="406">
        <v>8.6234000000000002</v>
      </c>
      <c r="T13" s="406">
        <v>1.15E-2</v>
      </c>
      <c r="U13" s="406">
        <v>1.8599999999999998E-2</v>
      </c>
      <c r="V13" s="410">
        <v>0.378</v>
      </c>
      <c r="W13" s="407">
        <v>1.09E-2</v>
      </c>
      <c r="X13" s="238"/>
      <c r="AA13" s="252">
        <v>2020</v>
      </c>
      <c r="AB13" s="253">
        <f t="shared" si="6"/>
        <v>0.73559020351481308</v>
      </c>
      <c r="AC13" s="253">
        <f t="shared" si="7"/>
        <v>1133.3442553683469</v>
      </c>
      <c r="AD13" s="253">
        <f t="shared" si="8"/>
        <v>2.5871205485548137</v>
      </c>
      <c r="AE13" s="253">
        <f t="shared" si="9"/>
        <v>3.3910117415925256E-2</v>
      </c>
      <c r="AF13" s="253">
        <f t="shared" si="10"/>
        <v>1.0879926198885429E-2</v>
      </c>
      <c r="AG13" s="253">
        <f t="shared" si="11"/>
        <v>8.9601662268949125E-2</v>
      </c>
      <c r="AH13" s="254">
        <f t="shared" ref="AH13" si="44">AH12*(1+AH$54)</f>
        <v>3.2449474657888736E-2</v>
      </c>
      <c r="AJ13" s="252">
        <v>2020</v>
      </c>
      <c r="AK13" s="253">
        <f t="shared" si="12"/>
        <v>0.67473247367513589</v>
      </c>
      <c r="AL13" s="253">
        <f t="shared" si="13"/>
        <v>1173.3442554879505</v>
      </c>
      <c r="AM13" s="253">
        <f t="shared" si="14"/>
        <v>2.6062747305443326</v>
      </c>
      <c r="AN13" s="253">
        <f t="shared" si="15"/>
        <v>3.7766962473826882E-2</v>
      </c>
      <c r="AO13" s="253">
        <f t="shared" si="16"/>
        <v>1.1218842585731541E-2</v>
      </c>
      <c r="AP13" s="253">
        <f t="shared" si="17"/>
        <v>8.6632726553157513E-2</v>
      </c>
      <c r="AQ13" s="254">
        <f t="shared" si="17"/>
        <v>3.6113656662769139E-2</v>
      </c>
      <c r="AS13" s="252">
        <v>2020</v>
      </c>
      <c r="AT13" s="253">
        <f t="shared" si="18"/>
        <v>0.63167181989445864</v>
      </c>
      <c r="AU13" s="253">
        <f t="shared" si="19"/>
        <v>1131.7554067718661</v>
      </c>
      <c r="AV13" s="253">
        <f t="shared" si="20"/>
        <v>2.3744648645789388</v>
      </c>
      <c r="AW13" s="253">
        <f t="shared" si="21"/>
        <v>4.1830169559408839E-2</v>
      </c>
      <c r="AX13" s="253">
        <f t="shared" si="22"/>
        <v>1.0856293927500232E-2</v>
      </c>
      <c r="AY13" s="253">
        <f t="shared" si="23"/>
        <v>8.1481337205687371E-2</v>
      </c>
      <c r="AZ13" s="254">
        <f t="shared" si="23"/>
        <v>3.9986256733692153E-2</v>
      </c>
      <c r="BB13" s="252">
        <v>2020</v>
      </c>
      <c r="BC13" s="253">
        <f t="shared" si="24"/>
        <v>0.64511692888747407</v>
      </c>
      <c r="BD13" s="253">
        <f t="shared" si="25"/>
        <v>1120.2722585224299</v>
      </c>
      <c r="BE13" s="253">
        <f t="shared" si="26"/>
        <v>2.3299592595471887</v>
      </c>
      <c r="BF13" s="253">
        <f t="shared" si="27"/>
        <v>4.0614620869256005E-2</v>
      </c>
      <c r="BG13" s="253">
        <f t="shared" si="28"/>
        <v>1.0777267023102525E-2</v>
      </c>
      <c r="BH13" s="253">
        <f t="shared" si="29"/>
        <v>8.0444360508210522E-2</v>
      </c>
      <c r="BI13" s="254">
        <f t="shared" si="29"/>
        <v>3.8818995724676314E-2</v>
      </c>
      <c r="BK13" s="252">
        <v>2020</v>
      </c>
      <c r="BL13" s="253">
        <f t="shared" si="30"/>
        <v>0.62958012523183549</v>
      </c>
      <c r="BM13" s="253">
        <f t="shared" si="31"/>
        <v>1177.1684734573355</v>
      </c>
      <c r="BN13" s="253">
        <f t="shared" si="32"/>
        <v>2.3548533577325537</v>
      </c>
      <c r="BO13" s="253">
        <f t="shared" si="33"/>
        <v>3.2747097350341522E-2</v>
      </c>
      <c r="BP13" s="253">
        <f t="shared" si="34"/>
        <v>1.1298197979574782E-2</v>
      </c>
      <c r="BQ13" s="253">
        <f t="shared" si="35"/>
        <v>7.6344668090192802E-2</v>
      </c>
      <c r="BR13" s="254">
        <f t="shared" si="35"/>
        <v>3.1334801652361154E-2</v>
      </c>
      <c r="BT13" s="252">
        <v>2020</v>
      </c>
      <c r="BU13" s="253">
        <f t="shared" si="36"/>
        <v>0.61423494755576946</v>
      </c>
      <c r="BV13" s="253">
        <f t="shared" si="37"/>
        <v>1195.0211707613014</v>
      </c>
      <c r="BW13" s="253">
        <f t="shared" si="38"/>
        <v>2.3556348864613743</v>
      </c>
      <c r="BX13" s="253">
        <f t="shared" si="39"/>
        <v>3.1050451315203724E-2</v>
      </c>
      <c r="BY13" s="253">
        <f t="shared" si="40"/>
        <v>1.1398214072888831E-2</v>
      </c>
      <c r="BZ13" s="253">
        <f t="shared" si="41"/>
        <v>7.496869787108984E-2</v>
      </c>
      <c r="CA13" s="254">
        <f t="shared" si="41"/>
        <v>2.9687931570859569E-2</v>
      </c>
    </row>
    <row r="14" spans="2:79" x14ac:dyDescent="0.25">
      <c r="B14" s="235"/>
      <c r="C14" s="247"/>
      <c r="D14" s="247">
        <v>9</v>
      </c>
      <c r="E14" s="391">
        <v>4.2596999999999996</v>
      </c>
      <c r="F14" s="392">
        <v>2028.3091999999999</v>
      </c>
      <c r="G14" s="389">
        <v>7.4729000000000001</v>
      </c>
      <c r="H14" s="389">
        <v>0.1148</v>
      </c>
      <c r="I14" s="389">
        <v>1.89E-2</v>
      </c>
      <c r="J14" s="393">
        <v>0.92559999999999998</v>
      </c>
      <c r="K14" s="390">
        <v>0.10979999999999999</v>
      </c>
      <c r="L14" s="238"/>
      <c r="M14" s="231"/>
      <c r="N14" s="235"/>
      <c r="O14" s="248"/>
      <c r="P14" s="247">
        <v>9</v>
      </c>
      <c r="Q14" s="408">
        <v>3.5421</v>
      </c>
      <c r="R14" s="409">
        <v>2089.4832999999999</v>
      </c>
      <c r="S14" s="406">
        <v>8.1165000000000003</v>
      </c>
      <c r="T14" s="406">
        <v>1.0999999999999999E-2</v>
      </c>
      <c r="U14" s="406">
        <v>1.83E-2</v>
      </c>
      <c r="V14" s="410">
        <v>0.35639999999999999</v>
      </c>
      <c r="W14" s="407">
        <v>1.0500000000000001E-2</v>
      </c>
      <c r="X14" s="238"/>
      <c r="AA14" s="252">
        <v>2021</v>
      </c>
      <c r="AB14" s="253">
        <f t="shared" si="6"/>
        <v>0.6888484369953003</v>
      </c>
      <c r="AC14" s="253">
        <f t="shared" si="7"/>
        <v>1133.4206070679495</v>
      </c>
      <c r="AD14" s="253">
        <f t="shared" si="8"/>
        <v>2.3051287446533832</v>
      </c>
      <c r="AE14" s="253">
        <f t="shared" si="9"/>
        <v>2.9846918863130602E-2</v>
      </c>
      <c r="AF14" s="253">
        <f t="shared" si="10"/>
        <v>1.0874913527608589E-2</v>
      </c>
      <c r="AG14" s="253">
        <f t="shared" si="11"/>
        <v>8.3465758225525932E-2</v>
      </c>
      <c r="AH14" s="254">
        <f t="shared" ref="AH14" si="45">AH13*(1+AH$54)</f>
        <v>2.8556848099277967E-2</v>
      </c>
      <c r="AJ14" s="252">
        <v>2021</v>
      </c>
      <c r="AK14" s="253">
        <f t="shared" si="12"/>
        <v>0.63063328319562295</v>
      </c>
      <c r="AL14" s="253">
        <f t="shared" si="13"/>
        <v>1171.2730173292011</v>
      </c>
      <c r="AM14" s="253">
        <f t="shared" si="14"/>
        <v>2.3048748977779887</v>
      </c>
      <c r="AN14" s="253">
        <f t="shared" si="15"/>
        <v>3.2922714344854852E-2</v>
      </c>
      <c r="AO14" s="253">
        <f t="shared" si="16"/>
        <v>1.119864447095624E-2</v>
      </c>
      <c r="AP14" s="253">
        <f t="shared" si="17"/>
        <v>8.0158228291956568E-2</v>
      </c>
      <c r="AQ14" s="254">
        <f t="shared" si="17"/>
        <v>3.1473551205388514E-2</v>
      </c>
      <c r="AS14" s="252">
        <v>2021</v>
      </c>
      <c r="AT14" s="253">
        <f t="shared" si="18"/>
        <v>0.58262040915252189</v>
      </c>
      <c r="AU14" s="253">
        <f t="shared" si="19"/>
        <v>1128.5403962688054</v>
      </c>
      <c r="AV14" s="253">
        <f t="shared" si="20"/>
        <v>2.0837967796616654</v>
      </c>
      <c r="AW14" s="253">
        <f t="shared" si="21"/>
        <v>3.6065176454244015E-2</v>
      </c>
      <c r="AX14" s="253">
        <f t="shared" si="22"/>
        <v>1.0820661717218107E-2</v>
      </c>
      <c r="AY14" s="253">
        <f t="shared" si="23"/>
        <v>7.4562618732764069E-2</v>
      </c>
      <c r="AZ14" s="254">
        <f t="shared" si="23"/>
        <v>3.4459100440617167E-2</v>
      </c>
      <c r="BB14" s="252">
        <v>2021</v>
      </c>
      <c r="BC14" s="253">
        <f t="shared" si="24"/>
        <v>0.59313036853393597</v>
      </c>
      <c r="BD14" s="253">
        <f t="shared" si="25"/>
        <v>1117.342972483985</v>
      </c>
      <c r="BE14" s="253">
        <f t="shared" si="26"/>
        <v>2.0452297072863908</v>
      </c>
      <c r="BF14" s="253">
        <f t="shared" si="27"/>
        <v>3.5137309395138157E-2</v>
      </c>
      <c r="BG14" s="253">
        <f t="shared" si="28"/>
        <v>1.0746800321264606E-2</v>
      </c>
      <c r="BH14" s="253">
        <f t="shared" si="29"/>
        <v>7.3649216802419398E-2</v>
      </c>
      <c r="BI14" s="254">
        <f t="shared" si="29"/>
        <v>3.3571094612199634E-2</v>
      </c>
      <c r="BK14" s="252">
        <v>2021</v>
      </c>
      <c r="BL14" s="253">
        <f t="shared" si="30"/>
        <v>0.58055935279812199</v>
      </c>
      <c r="BM14" s="253">
        <f t="shared" si="31"/>
        <v>1174.6824726034984</v>
      </c>
      <c r="BN14" s="253">
        <f t="shared" si="32"/>
        <v>2.0779898214921357</v>
      </c>
      <c r="BO14" s="253">
        <f t="shared" si="33"/>
        <v>2.884471741737403E-2</v>
      </c>
      <c r="BP14" s="253">
        <f t="shared" si="34"/>
        <v>1.1272889838490657E-2</v>
      </c>
      <c r="BQ14" s="253">
        <f t="shared" si="35"/>
        <v>7.0632805967261861E-2</v>
      </c>
      <c r="BR14" s="254">
        <f t="shared" si="35"/>
        <v>2.759460975718319E-2</v>
      </c>
      <c r="BT14" s="252">
        <v>2021</v>
      </c>
      <c r="BU14" s="253">
        <f t="shared" si="36"/>
        <v>0.56688972716760888</v>
      </c>
      <c r="BV14" s="253">
        <f t="shared" si="37"/>
        <v>1192.4884402335379</v>
      </c>
      <c r="BW14" s="253">
        <f t="shared" si="38"/>
        <v>2.0805817695004554</v>
      </c>
      <c r="BX14" s="253">
        <f t="shared" si="39"/>
        <v>2.7441348585234289E-2</v>
      </c>
      <c r="BY14" s="253">
        <f t="shared" si="40"/>
        <v>1.1372908669765312E-2</v>
      </c>
      <c r="BZ14" s="253">
        <f t="shared" si="41"/>
        <v>6.9516911790388325E-2</v>
      </c>
      <c r="CA14" s="254">
        <f t="shared" si="41"/>
        <v>2.6232681423129504E-2</v>
      </c>
    </row>
    <row r="15" spans="2:79" x14ac:dyDescent="0.25">
      <c r="B15" s="235"/>
      <c r="C15" s="247"/>
      <c r="D15" s="247">
        <v>10</v>
      </c>
      <c r="E15" s="391">
        <v>4.0294999999999996</v>
      </c>
      <c r="F15" s="392">
        <v>1988.4863</v>
      </c>
      <c r="G15" s="389">
        <v>7.3472999999999997</v>
      </c>
      <c r="H15" s="389">
        <v>0.11509999999999999</v>
      </c>
      <c r="I15" s="389">
        <v>1.8499999999999999E-2</v>
      </c>
      <c r="J15" s="393">
        <v>0.89339999999999997</v>
      </c>
      <c r="K15" s="390">
        <v>0.1101</v>
      </c>
      <c r="L15" s="238"/>
      <c r="M15" s="231"/>
      <c r="N15" s="235"/>
      <c r="O15" s="248"/>
      <c r="P15" s="247">
        <v>10</v>
      </c>
      <c r="Q15" s="408">
        <v>3.2667999999999999</v>
      </c>
      <c r="R15" s="409">
        <v>2033.8356000000001</v>
      </c>
      <c r="S15" s="406">
        <v>7.6096000000000004</v>
      </c>
      <c r="T15" s="406">
        <v>1.0500000000000001E-2</v>
      </c>
      <c r="U15" s="406">
        <v>1.7899999999999999E-2</v>
      </c>
      <c r="V15" s="410">
        <v>0.33489999999999998</v>
      </c>
      <c r="W15" s="407">
        <v>0.01</v>
      </c>
      <c r="X15" s="238"/>
      <c r="AA15" s="252">
        <v>2022</v>
      </c>
      <c r="AB15" s="253">
        <f t="shared" si="6"/>
        <v>0.6450767925993901</v>
      </c>
      <c r="AC15" s="253">
        <f t="shared" si="7"/>
        <v>1133.4969639112514</v>
      </c>
      <c r="AD15" s="253">
        <f t="shared" si="8"/>
        <v>2.0538735747723513</v>
      </c>
      <c r="AE15" s="253">
        <f t="shared" si="9"/>
        <v>2.6270583339352744E-2</v>
      </c>
      <c r="AF15" s="253">
        <f t="shared" si="10"/>
        <v>1.0869903165802684E-2</v>
      </c>
      <c r="AG15" s="253">
        <f t="shared" si="11"/>
        <v>7.7750039672825982E-2</v>
      </c>
      <c r="AH15" s="254">
        <f t="shared" ref="AH15" si="46">AH14*(1+AH$54)</f>
        <v>2.5131179532577805E-2</v>
      </c>
      <c r="AJ15" s="252">
        <v>2022</v>
      </c>
      <c r="AK15" s="253">
        <f t="shared" si="12"/>
        <v>0.58941632927181586</v>
      </c>
      <c r="AL15" s="253">
        <f t="shared" si="13"/>
        <v>1169.2054354098634</v>
      </c>
      <c r="AM15" s="253">
        <f t="shared" si="14"/>
        <v>2.0383301238920293</v>
      </c>
      <c r="AN15" s="253">
        <f t="shared" si="15"/>
        <v>2.8699822512442599E-2</v>
      </c>
      <c r="AO15" s="253">
        <f t="shared" si="16"/>
        <v>1.1178482720345724E-2</v>
      </c>
      <c r="AP15" s="253">
        <f t="shared" si="17"/>
        <v>7.4167601766093105E-2</v>
      </c>
      <c r="AQ15" s="254">
        <f t="shared" si="17"/>
        <v>2.7429635130231542E-2</v>
      </c>
      <c r="AS15" s="252">
        <v>2022</v>
      </c>
      <c r="AT15" s="253">
        <f t="shared" si="18"/>
        <v>0.53737800305507943</v>
      </c>
      <c r="AU15" s="253">
        <f t="shared" si="19"/>
        <v>1125.3345187395948</v>
      </c>
      <c r="AV15" s="253">
        <f t="shared" si="20"/>
        <v>1.8287105796776344</v>
      </c>
      <c r="AW15" s="253">
        <f t="shared" si="21"/>
        <v>3.1094709067063579E-2</v>
      </c>
      <c r="AX15" s="253">
        <f t="shared" si="22"/>
        <v>1.0785146457933999E-2</v>
      </c>
      <c r="AY15" s="253">
        <f t="shared" si="23"/>
        <v>6.8231380374296088E-2</v>
      </c>
      <c r="AZ15" s="254">
        <f t="shared" si="23"/>
        <v>2.9695943060757225E-2</v>
      </c>
      <c r="BB15" s="252">
        <v>2022</v>
      </c>
      <c r="BC15" s="253">
        <f t="shared" si="24"/>
        <v>0.54533313004806738</v>
      </c>
      <c r="BD15" s="253">
        <f t="shared" si="25"/>
        <v>1114.4213459378018</v>
      </c>
      <c r="BE15" s="253">
        <f t="shared" si="26"/>
        <v>1.7952951488000291</v>
      </c>
      <c r="BF15" s="253">
        <f t="shared" si="27"/>
        <v>3.0398671343113304E-2</v>
      </c>
      <c r="BG15" s="253">
        <f t="shared" si="28"/>
        <v>1.0716419747006054E-2</v>
      </c>
      <c r="BH15" s="253">
        <f t="shared" si="29"/>
        <v>6.7428059609674643E-2</v>
      </c>
      <c r="BI15" s="254">
        <f t="shared" si="29"/>
        <v>2.9032651989624771E-2</v>
      </c>
      <c r="BK15" s="252">
        <v>2022</v>
      </c>
      <c r="BL15" s="253">
        <f t="shared" si="30"/>
        <v>0.53535546726043792</v>
      </c>
      <c r="BM15" s="253">
        <f t="shared" si="31"/>
        <v>1172.2017218055237</v>
      </c>
      <c r="BN15" s="253">
        <f t="shared" si="32"/>
        <v>1.8336775341215654</v>
      </c>
      <c r="BO15" s="253">
        <f t="shared" si="33"/>
        <v>2.5407373178358464E-2</v>
      </c>
      <c r="BP15" s="253">
        <f t="shared" si="34"/>
        <v>1.124763838804041E-2</v>
      </c>
      <c r="BQ15" s="253">
        <f t="shared" si="35"/>
        <v>6.5348286967662456E-2</v>
      </c>
      <c r="BR15" s="254">
        <f t="shared" si="35"/>
        <v>2.4300855518383395E-2</v>
      </c>
      <c r="BT15" s="252">
        <v>2022</v>
      </c>
      <c r="BU15" s="253">
        <f t="shared" si="36"/>
        <v>0.5231938756447716</v>
      </c>
      <c r="BV15" s="253">
        <f t="shared" si="37"/>
        <v>1189.961077580489</v>
      </c>
      <c r="BW15" s="253">
        <f t="shared" si="38"/>
        <v>1.8376449272579689</v>
      </c>
      <c r="BX15" s="253">
        <f t="shared" si="39"/>
        <v>2.4251744508706163E-2</v>
      </c>
      <c r="BY15" s="253">
        <f t="shared" si="40"/>
        <v>1.1347659447673589E-2</v>
      </c>
      <c r="BZ15" s="253">
        <f t="shared" si="41"/>
        <v>6.4461584129183944E-2</v>
      </c>
      <c r="CA15" s="254">
        <f t="shared" si="41"/>
        <v>2.3179572918541304E-2</v>
      </c>
    </row>
    <row r="16" spans="2:79" x14ac:dyDescent="0.25">
      <c r="B16" s="235"/>
      <c r="C16" s="247"/>
      <c r="D16" s="247">
        <v>11</v>
      </c>
      <c r="E16" s="391">
        <v>3.7759</v>
      </c>
      <c r="F16" s="392">
        <v>1843.4957999999999</v>
      </c>
      <c r="G16" s="389">
        <v>6.7599</v>
      </c>
      <c r="H16" s="389">
        <v>0.1061</v>
      </c>
      <c r="I16" s="389">
        <v>1.7299999999999999E-2</v>
      </c>
      <c r="J16" s="393">
        <v>0.80820000000000003</v>
      </c>
      <c r="K16" s="390">
        <v>0.10150000000000001</v>
      </c>
      <c r="L16" s="238"/>
      <c r="M16" s="231"/>
      <c r="N16" s="235"/>
      <c r="O16" s="248"/>
      <c r="P16" s="247">
        <v>11</v>
      </c>
      <c r="Q16" s="408">
        <v>2.9097</v>
      </c>
      <c r="R16" s="409">
        <v>1905.6876</v>
      </c>
      <c r="S16" s="406">
        <v>6.8506999999999998</v>
      </c>
      <c r="T16" s="406">
        <v>1.03E-2</v>
      </c>
      <c r="U16" s="406">
        <v>1.6899999999999998E-2</v>
      </c>
      <c r="V16" s="410">
        <v>0.30919999999999997</v>
      </c>
      <c r="W16" s="407">
        <v>9.7999999999999997E-3</v>
      </c>
      <c r="X16" s="238"/>
      <c r="AA16" s="252">
        <v>2023</v>
      </c>
      <c r="AB16" s="253">
        <f t="shared" si="6"/>
        <v>0.60408653921814093</v>
      </c>
      <c r="AC16" s="253">
        <f t="shared" si="7"/>
        <v>1133.573325898599</v>
      </c>
      <c r="AD16" s="253">
        <f t="shared" si="8"/>
        <v>1.8300047973166322</v>
      </c>
      <c r="AE16" s="253">
        <f t="shared" si="9"/>
        <v>2.3122773648920951E-2</v>
      </c>
      <c r="AF16" s="253">
        <f t="shared" si="10"/>
        <v>1.086489511240368E-2</v>
      </c>
      <c r="AG16" s="253">
        <f t="shared" si="11"/>
        <v>7.2425732391864631E-2</v>
      </c>
      <c r="AH16" s="254">
        <f t="shared" ref="AH16" si="47">AH15*(1+AH$54)</f>
        <v>2.2116452855825725E-2</v>
      </c>
      <c r="AJ16" s="252">
        <v>2023</v>
      </c>
      <c r="AK16" s="253">
        <f t="shared" si="12"/>
        <v>0.55089323457812855</v>
      </c>
      <c r="AL16" s="253">
        <f t="shared" si="13"/>
        <v>1167.1415032757848</v>
      </c>
      <c r="AM16" s="253">
        <f t="shared" si="14"/>
        <v>1.8026096331610511</v>
      </c>
      <c r="AN16" s="253">
        <f t="shared" si="15"/>
        <v>2.5018587581143087E-2</v>
      </c>
      <c r="AO16" s="253">
        <f t="shared" si="16"/>
        <v>1.1158357268430888E-2</v>
      </c>
      <c r="AP16" s="253">
        <f t="shared" si="17"/>
        <v>6.8624684813371251E-2</v>
      </c>
      <c r="AQ16" s="254">
        <f t="shared" si="17"/>
        <v>2.3905306346517968E-2</v>
      </c>
      <c r="AS16" s="252">
        <v>2023</v>
      </c>
      <c r="AT16" s="253">
        <f t="shared" si="18"/>
        <v>0.49564881976502762</v>
      </c>
      <c r="AU16" s="253">
        <f t="shared" si="19"/>
        <v>1122.1377482399298</v>
      </c>
      <c r="AV16" s="253">
        <f t="shared" si="20"/>
        <v>1.6048505386249259</v>
      </c>
      <c r="AW16" s="253">
        <f t="shared" si="21"/>
        <v>2.6809266639579884E-2</v>
      </c>
      <c r="AX16" s="253">
        <f t="shared" si="22"/>
        <v>1.0749747765794763E-2</v>
      </c>
      <c r="AY16" s="253">
        <f t="shared" si="23"/>
        <v>6.2437738197842603E-2</v>
      </c>
      <c r="AZ16" s="254">
        <f t="shared" si="23"/>
        <v>2.5591179775206609E-2</v>
      </c>
      <c r="BB16" s="252">
        <v>2023</v>
      </c>
      <c r="BC16" s="253">
        <f t="shared" si="24"/>
        <v>0.5013876181438639</v>
      </c>
      <c r="BD16" s="253">
        <f t="shared" si="25"/>
        <v>1111.5073588558525</v>
      </c>
      <c r="BE16" s="253">
        <f t="shared" si="26"/>
        <v>1.5759035084529966</v>
      </c>
      <c r="BF16" s="253">
        <f t="shared" si="27"/>
        <v>2.6299088784370043E-2</v>
      </c>
      <c r="BG16" s="253">
        <f t="shared" si="28"/>
        <v>1.068612505684925E-2</v>
      </c>
      <c r="BH16" s="253">
        <f t="shared" si="29"/>
        <v>6.1732404228044442E-2</v>
      </c>
      <c r="BI16" s="254">
        <f t="shared" si="29"/>
        <v>2.5107756874997986E-2</v>
      </c>
      <c r="BK16" s="252">
        <v>2023</v>
      </c>
      <c r="BL16" s="253">
        <f t="shared" si="30"/>
        <v>0.49367127571761499</v>
      </c>
      <c r="BM16" s="253">
        <f t="shared" si="31"/>
        <v>1169.7262099760917</v>
      </c>
      <c r="BN16" s="253">
        <f t="shared" si="32"/>
        <v>1.6180893979200224</v>
      </c>
      <c r="BO16" s="253">
        <f t="shared" si="33"/>
        <v>2.2379647631269373E-2</v>
      </c>
      <c r="BP16" s="253">
        <f t="shared" si="34"/>
        <v>1.1222443501236129E-2</v>
      </c>
      <c r="BQ16" s="253">
        <f t="shared" si="35"/>
        <v>6.0459138655588489E-2</v>
      </c>
      <c r="BR16" s="254">
        <f t="shared" si="35"/>
        <v>2.1400251140410588E-2</v>
      </c>
      <c r="BT16" s="252">
        <v>2023</v>
      </c>
      <c r="BU16" s="253">
        <f t="shared" si="36"/>
        <v>0.48286609969078531</v>
      </c>
      <c r="BV16" s="253">
        <f t="shared" si="37"/>
        <v>1187.4390714254696</v>
      </c>
      <c r="BW16" s="253">
        <f t="shared" si="38"/>
        <v>1.6230743382355715</v>
      </c>
      <c r="BX16" s="253">
        <f t="shared" si="39"/>
        <v>2.1432879287573762E-2</v>
      </c>
      <c r="BY16" s="253">
        <f t="shared" si="40"/>
        <v>1.1322466281885029E-2</v>
      </c>
      <c r="BZ16" s="253">
        <f t="shared" si="41"/>
        <v>5.977388410137037E-2</v>
      </c>
      <c r="CA16" s="254">
        <f t="shared" si="41"/>
        <v>2.0481802527904734E-2</v>
      </c>
    </row>
    <row r="17" spans="2:79" x14ac:dyDescent="0.25">
      <c r="B17" s="235"/>
      <c r="C17" s="247"/>
      <c r="D17" s="247">
        <v>12</v>
      </c>
      <c r="E17" s="391">
        <v>3.5223</v>
      </c>
      <c r="F17" s="392">
        <v>1698.5054</v>
      </c>
      <c r="G17" s="389">
        <v>6.1725000000000003</v>
      </c>
      <c r="H17" s="389">
        <v>9.7199999999999995E-2</v>
      </c>
      <c r="I17" s="389">
        <v>1.6E-2</v>
      </c>
      <c r="J17" s="393">
        <v>0.72299999999999998</v>
      </c>
      <c r="K17" s="390">
        <v>9.2899999999999996E-2</v>
      </c>
      <c r="L17" s="238"/>
      <c r="M17" s="231"/>
      <c r="N17" s="235"/>
      <c r="O17" s="248"/>
      <c r="P17" s="247">
        <v>12</v>
      </c>
      <c r="Q17" s="408">
        <v>2.5527000000000002</v>
      </c>
      <c r="R17" s="409">
        <v>1777.5397</v>
      </c>
      <c r="S17" s="406">
        <v>6.0918999999999999</v>
      </c>
      <c r="T17" s="406">
        <v>0.01</v>
      </c>
      <c r="U17" s="406">
        <v>1.5900000000000001E-2</v>
      </c>
      <c r="V17" s="410">
        <v>0.28349999999999997</v>
      </c>
      <c r="W17" s="407">
        <v>9.5999999999999992E-3</v>
      </c>
      <c r="X17" s="238"/>
      <c r="AA17" s="252">
        <v>2024</v>
      </c>
      <c r="AB17" s="253">
        <f t="shared" si="6"/>
        <v>0.56570093832406076</v>
      </c>
      <c r="AC17" s="253">
        <f t="shared" si="7"/>
        <v>1133.649693030339</v>
      </c>
      <c r="AD17" s="253">
        <f t="shared" si="8"/>
        <v>1.6305373414101587</v>
      </c>
      <c r="AE17" s="253">
        <f t="shared" si="9"/>
        <v>2.0352142710828979E-2</v>
      </c>
      <c r="AF17" s="253">
        <f t="shared" si="10"/>
        <v>1.0859889366348031E-2</v>
      </c>
      <c r="AG17" s="253">
        <f t="shared" si="11"/>
        <v>6.7466032616460669E-2</v>
      </c>
      <c r="AH17" s="254">
        <f t="shared" ref="AH17" si="48">AH16*(1+AH$54)</f>
        <v>1.9463371637208193E-2</v>
      </c>
      <c r="AJ17" s="252">
        <v>2024</v>
      </c>
      <c r="AK17" s="253">
        <f t="shared" si="12"/>
        <v>0.51488793376132991</v>
      </c>
      <c r="AL17" s="253">
        <f t="shared" si="13"/>
        <v>1165.0812144842062</v>
      </c>
      <c r="AM17" s="253">
        <f t="shared" si="14"/>
        <v>1.5941487845749662</v>
      </c>
      <c r="AN17" s="253">
        <f t="shared" si="15"/>
        <v>2.1809532943416633E-2</v>
      </c>
      <c r="AO17" s="253">
        <f t="shared" si="16"/>
        <v>1.1138268049860496E-2</v>
      </c>
      <c r="AP17" s="253">
        <f t="shared" si="17"/>
        <v>6.349601785138885E-2</v>
      </c>
      <c r="AQ17" s="254">
        <f t="shared" si="17"/>
        <v>2.0833805072785462E-2</v>
      </c>
      <c r="AS17" s="252">
        <v>2024</v>
      </c>
      <c r="AT17" s="253">
        <f t="shared" si="18"/>
        <v>0.45716004588540021</v>
      </c>
      <c r="AU17" s="253">
        <f t="shared" si="19"/>
        <v>1118.9500588992069</v>
      </c>
      <c r="AV17" s="253">
        <f t="shared" si="20"/>
        <v>1.408394132973591</v>
      </c>
      <c r="AW17" s="253">
        <f t="shared" si="21"/>
        <v>2.3114439701042187E-2</v>
      </c>
      <c r="AX17" s="253">
        <f t="shared" si="22"/>
        <v>1.0714465258207129E-2</v>
      </c>
      <c r="AY17" s="253">
        <f t="shared" si="23"/>
        <v>5.7136044000231791E-2</v>
      </c>
      <c r="AZ17" s="254">
        <f t="shared" si="23"/>
        <v>2.2053803138934361E-2</v>
      </c>
      <c r="BB17" s="252">
        <v>2024</v>
      </c>
      <c r="BC17" s="253">
        <f t="shared" si="24"/>
        <v>0.46098344255339635</v>
      </c>
      <c r="BD17" s="253">
        <f t="shared" si="25"/>
        <v>1108.6009912624788</v>
      </c>
      <c r="BE17" s="253">
        <f t="shared" si="26"/>
        <v>1.3833223298210384</v>
      </c>
      <c r="BF17" s="253">
        <f t="shared" si="27"/>
        <v>2.2752378322115938E-2</v>
      </c>
      <c r="BG17" s="253">
        <f t="shared" si="28"/>
        <v>1.0655916008004879E-2</v>
      </c>
      <c r="BH17" s="253">
        <f t="shared" si="29"/>
        <v>5.6517861463536601E-2</v>
      </c>
      <c r="BI17" s="254">
        <f t="shared" si="29"/>
        <v>2.1713464395856457E-2</v>
      </c>
      <c r="BK17" s="252">
        <v>2024</v>
      </c>
      <c r="BL17" s="253">
        <f t="shared" si="30"/>
        <v>0.45523272549320504</v>
      </c>
      <c r="BM17" s="253">
        <f t="shared" si="31"/>
        <v>1167.2559260512974</v>
      </c>
      <c r="BN17" s="253">
        <f t="shared" si="32"/>
        <v>1.4278482726328716</v>
      </c>
      <c r="BO17" s="253">
        <f t="shared" si="33"/>
        <v>1.9712727663101927E-2</v>
      </c>
      <c r="BP17" s="253">
        <f t="shared" si="34"/>
        <v>1.1197305051374359E-2</v>
      </c>
      <c r="BQ17" s="253">
        <f t="shared" si="35"/>
        <v>5.5935780669881988E-2</v>
      </c>
      <c r="BR17" s="254">
        <f t="shared" si="35"/>
        <v>1.8845869377981102E-2</v>
      </c>
      <c r="BT17" s="252">
        <v>2024</v>
      </c>
      <c r="BU17" s="253">
        <f t="shared" si="36"/>
        <v>0.44564678809217911</v>
      </c>
      <c r="BV17" s="253">
        <f t="shared" si="37"/>
        <v>1184.9224104159055</v>
      </c>
      <c r="BW17" s="253">
        <f t="shared" si="38"/>
        <v>1.4335578480711715</v>
      </c>
      <c r="BX17" s="253">
        <f t="shared" si="39"/>
        <v>1.8941660645929993E-2</v>
      </c>
      <c r="BY17" s="253">
        <f t="shared" si="40"/>
        <v>1.1297329047947911E-2</v>
      </c>
      <c r="BZ17" s="253">
        <f t="shared" si="41"/>
        <v>5.5427077519593207E-2</v>
      </c>
      <c r="CA17" s="254">
        <f t="shared" si="41"/>
        <v>1.809801398267023E-2</v>
      </c>
    </row>
    <row r="18" spans="2:79" x14ac:dyDescent="0.25">
      <c r="B18" s="235"/>
      <c r="C18" s="247"/>
      <c r="D18" s="247">
        <v>13</v>
      </c>
      <c r="E18" s="391">
        <v>3.2686999999999999</v>
      </c>
      <c r="F18" s="392">
        <v>1553.5148999999999</v>
      </c>
      <c r="G18" s="389">
        <v>5.5850999999999997</v>
      </c>
      <c r="H18" s="389">
        <v>8.8200000000000001E-2</v>
      </c>
      <c r="I18" s="389">
        <v>1.47E-2</v>
      </c>
      <c r="J18" s="393">
        <v>0.63780000000000003</v>
      </c>
      <c r="K18" s="390">
        <v>8.43E-2</v>
      </c>
      <c r="L18" s="238"/>
      <c r="M18" s="231"/>
      <c r="N18" s="235"/>
      <c r="O18" s="248"/>
      <c r="P18" s="247">
        <v>13</v>
      </c>
      <c r="Q18" s="408">
        <v>2.1957</v>
      </c>
      <c r="R18" s="409">
        <v>1649.3916999999999</v>
      </c>
      <c r="S18" s="406">
        <v>5.3330000000000002</v>
      </c>
      <c r="T18" s="406">
        <v>9.7999999999999997E-3</v>
      </c>
      <c r="U18" s="406">
        <v>1.4999999999999999E-2</v>
      </c>
      <c r="V18" s="410">
        <v>0.25779999999999997</v>
      </c>
      <c r="W18" s="407">
        <v>9.2999999999999992E-3</v>
      </c>
      <c r="X18" s="238"/>
      <c r="AA18" s="252">
        <v>2025</v>
      </c>
      <c r="AB18" s="253">
        <f t="shared" si="6"/>
        <v>0.5297544819239246</v>
      </c>
      <c r="AC18" s="253">
        <f t="shared" si="7"/>
        <v>1133.7260653068179</v>
      </c>
      <c r="AD18" s="253">
        <f t="shared" si="8"/>
        <v>1.4528115038995175</v>
      </c>
      <c r="AE18" s="253">
        <f t="shared" si="9"/>
        <v>1.7913495984997398E-2</v>
      </c>
      <c r="AF18" s="253">
        <f t="shared" si="10"/>
        <v>1.0854885926572683E-2</v>
      </c>
      <c r="AG18" s="253">
        <f t="shared" si="11"/>
        <v>6.2845972097019628E-2</v>
      </c>
      <c r="AH18" s="254">
        <f t="shared" ref="AH18" si="49">AH17*(1+AH$54)</f>
        <v>1.712855302600182E-2</v>
      </c>
      <c r="AJ18" s="252">
        <v>2025</v>
      </c>
      <c r="AK18" s="253">
        <f t="shared" si="12"/>
        <v>0.48123586875419039</v>
      </c>
      <c r="AL18" s="253">
        <f t="shared" si="13"/>
        <v>1163.0245626037415</v>
      </c>
      <c r="AM18" s="253">
        <f t="shared" si="14"/>
        <v>1.4097951661921433</v>
      </c>
      <c r="AN18" s="253">
        <f t="shared" si="15"/>
        <v>1.9012093535147632E-2</v>
      </c>
      <c r="AO18" s="253">
        <f t="shared" si="16"/>
        <v>1.1118214999400969E-2</v>
      </c>
      <c r="AP18" s="253">
        <f t="shared" si="17"/>
        <v>5.8750641900191601E-2</v>
      </c>
      <c r="AQ18" s="254">
        <f t="shared" si="17"/>
        <v>1.8156949236253748E-2</v>
      </c>
      <c r="AS18" s="252">
        <v>2025</v>
      </c>
      <c r="AT18" s="253">
        <f t="shared" si="18"/>
        <v>0.42166005288385372</v>
      </c>
      <c r="AU18" s="253">
        <f t="shared" si="19"/>
        <v>1115.7714249203134</v>
      </c>
      <c r="AV18" s="253">
        <f t="shared" si="20"/>
        <v>1.2359867701412284</v>
      </c>
      <c r="AW18" s="253">
        <f t="shared" si="21"/>
        <v>1.9928830201730859E-2</v>
      </c>
      <c r="AX18" s="253">
        <f t="shared" si="22"/>
        <v>1.0679298553833561E-2</v>
      </c>
      <c r="AY18" s="253">
        <f t="shared" si="23"/>
        <v>5.2284525644608018E-2</v>
      </c>
      <c r="AZ18" s="254">
        <f t="shared" si="23"/>
        <v>1.900538533835314E-2</v>
      </c>
      <c r="BB18" s="252">
        <v>2025</v>
      </c>
      <c r="BC18" s="253">
        <f t="shared" si="24"/>
        <v>0.4238352257183301</v>
      </c>
      <c r="BD18" s="253">
        <f t="shared" si="25"/>
        <v>1105.7022232342547</v>
      </c>
      <c r="BE18" s="253">
        <f t="shared" si="26"/>
        <v>1.214275276320689</v>
      </c>
      <c r="BF18" s="253">
        <f t="shared" si="27"/>
        <v>1.9683979302748733E-2</v>
      </c>
      <c r="BG18" s="253">
        <f t="shared" si="28"/>
        <v>1.0625792358369971E-2</v>
      </c>
      <c r="BH18" s="253">
        <f t="shared" si="29"/>
        <v>5.174379168210639E-2</v>
      </c>
      <c r="BI18" s="254">
        <f t="shared" si="29"/>
        <v>1.8778042913885903E-2</v>
      </c>
      <c r="BK18" s="252">
        <v>2025</v>
      </c>
      <c r="BL18" s="253">
        <f t="shared" si="30"/>
        <v>0.41978710237642702</v>
      </c>
      <c r="BM18" s="253">
        <f t="shared" si="31"/>
        <v>1164.7908589906008</v>
      </c>
      <c r="BN18" s="253">
        <f t="shared" si="32"/>
        <v>1.2599740732999012</v>
      </c>
      <c r="BO18" s="253">
        <f t="shared" si="33"/>
        <v>1.7363617082901454E-2</v>
      </c>
      <c r="BP18" s="253">
        <f t="shared" si="34"/>
        <v>1.117222291203546E-2</v>
      </c>
      <c r="BQ18" s="253">
        <f t="shared" si="35"/>
        <v>5.1750845756713973E-2</v>
      </c>
      <c r="BR18" s="254">
        <f t="shared" si="35"/>
        <v>1.6596384326595878E-2</v>
      </c>
      <c r="BT18" s="252">
        <v>2025</v>
      </c>
      <c r="BU18" s="253">
        <f t="shared" si="36"/>
        <v>0.41129634046385627</v>
      </c>
      <c r="BV18" s="253">
        <f t="shared" si="37"/>
        <v>1182.4110832232836</v>
      </c>
      <c r="BW18" s="253">
        <f t="shared" si="38"/>
        <v>1.2661700424642992</v>
      </c>
      <c r="BX18" s="253">
        <f t="shared" si="39"/>
        <v>1.6740005074054064E-2</v>
      </c>
      <c r="BY18" s="253">
        <f t="shared" si="40"/>
        <v>1.1272247621686814E-2</v>
      </c>
      <c r="BZ18" s="253">
        <f t="shared" si="41"/>
        <v>5.1396374328844432E-2</v>
      </c>
      <c r="CA18" s="254">
        <f t="shared" si="41"/>
        <v>1.5991664291787017E-2</v>
      </c>
    </row>
    <row r="19" spans="2:79" x14ac:dyDescent="0.25">
      <c r="B19" s="235"/>
      <c r="C19" s="247"/>
      <c r="D19" s="247">
        <v>14</v>
      </c>
      <c r="E19" s="391">
        <v>3.0150999999999999</v>
      </c>
      <c r="F19" s="392">
        <v>1408.5244</v>
      </c>
      <c r="G19" s="389">
        <v>4.9977</v>
      </c>
      <c r="H19" s="389">
        <v>7.9200000000000007E-2</v>
      </c>
      <c r="I19" s="389">
        <v>1.34E-2</v>
      </c>
      <c r="J19" s="393">
        <v>0.55249999999999999</v>
      </c>
      <c r="K19" s="390">
        <v>7.5700000000000003E-2</v>
      </c>
      <c r="L19" s="238"/>
      <c r="M19" s="231"/>
      <c r="N19" s="235"/>
      <c r="O19" s="248"/>
      <c r="P19" s="247">
        <v>14</v>
      </c>
      <c r="Q19" s="408">
        <v>1.8386</v>
      </c>
      <c r="R19" s="409">
        <v>1521.2438</v>
      </c>
      <c r="S19" s="406">
        <v>4.5742000000000003</v>
      </c>
      <c r="T19" s="406">
        <v>9.5999999999999992E-3</v>
      </c>
      <c r="U19" s="406">
        <v>1.4E-2</v>
      </c>
      <c r="V19" s="410">
        <v>0.23219999999999999</v>
      </c>
      <c r="W19" s="407">
        <v>9.1000000000000004E-3</v>
      </c>
      <c r="X19" s="238"/>
      <c r="AA19" s="252">
        <v>2026</v>
      </c>
      <c r="AB19" s="253">
        <f t="shared" si="6"/>
        <v>0.4960921789345199</v>
      </c>
      <c r="AC19" s="253">
        <f t="shared" si="7"/>
        <v>1133.8024427283824</v>
      </c>
      <c r="AD19" s="253">
        <f t="shared" si="8"/>
        <v>1.2944574848174819</v>
      </c>
      <c r="AE19" s="253">
        <f t="shared" si="9"/>
        <v>1.5767054258801792E-2</v>
      </c>
      <c r="AF19" s="253">
        <f t="shared" si="10"/>
        <v>1.0849884792015072E-2</v>
      </c>
      <c r="AG19" s="253">
        <f t="shared" si="11"/>
        <v>5.8542292404722258E-2</v>
      </c>
      <c r="AH19" s="254">
        <f t="shared" ref="AH19" si="50">AH18*(1+AH$54)</f>
        <v>1.5073818361649456E-2</v>
      </c>
      <c r="AJ19" s="252">
        <v>2026</v>
      </c>
      <c r="AK19" s="253">
        <f t="shared" si="12"/>
        <v>0.44978323668184883</v>
      </c>
      <c r="AL19" s="253">
        <f t="shared" si="13"/>
        <v>1160.9715412143576</v>
      </c>
      <c r="AM19" s="253">
        <f t="shared" si="14"/>
        <v>1.2467609233529906</v>
      </c>
      <c r="AN19" s="253">
        <f t="shared" si="15"/>
        <v>1.6573472780319749E-2</v>
      </c>
      <c r="AO19" s="253">
        <f t="shared" si="16"/>
        <v>1.1098198051936176E-2</v>
      </c>
      <c r="AP19" s="253">
        <f t="shared" si="17"/>
        <v>5.4359911699707497E-2</v>
      </c>
      <c r="AQ19" s="254">
        <f t="shared" si="17"/>
        <v>1.5824032355881992E-2</v>
      </c>
      <c r="AS19" s="252">
        <v>2026</v>
      </c>
      <c r="AT19" s="253">
        <f t="shared" si="18"/>
        <v>0.38891675201770387</v>
      </c>
      <c r="AU19" s="253">
        <f t="shared" si="19"/>
        <v>1112.6018205794198</v>
      </c>
      <c r="AV19" s="253">
        <f t="shared" si="20"/>
        <v>1.0846845071263806</v>
      </c>
      <c r="AW19" s="253">
        <f t="shared" si="21"/>
        <v>1.7182258291621622E-2</v>
      </c>
      <c r="AX19" s="253">
        <f t="shared" si="22"/>
        <v>1.0644247272588137E-2</v>
      </c>
      <c r="AY19" s="253">
        <f t="shared" si="23"/>
        <v>4.7844957937070047E-2</v>
      </c>
      <c r="AZ19" s="254">
        <f t="shared" si="23"/>
        <v>1.6378339354159208E-2</v>
      </c>
      <c r="BB19" s="252">
        <v>2026</v>
      </c>
      <c r="BC19" s="253">
        <f t="shared" si="24"/>
        <v>0.38968058714798703</v>
      </c>
      <c r="BD19" s="253">
        <f t="shared" si="25"/>
        <v>1102.8110348998498</v>
      </c>
      <c r="BE19" s="253">
        <f t="shared" si="26"/>
        <v>1.0658863916947241</v>
      </c>
      <c r="BF19" s="253">
        <f t="shared" si="27"/>
        <v>1.7029386365926401E-2</v>
      </c>
      <c r="BG19" s="253">
        <f t="shared" si="28"/>
        <v>1.0595753866525968E-2</v>
      </c>
      <c r="BH19" s="253">
        <f t="shared" si="29"/>
        <v>4.7372988083928168E-2</v>
      </c>
      <c r="BI19" s="254">
        <f t="shared" si="29"/>
        <v>1.6239458119038319E-2</v>
      </c>
      <c r="BK19" s="252">
        <v>2026</v>
      </c>
      <c r="BL19" s="253">
        <f t="shared" si="30"/>
        <v>0.38710136915283599</v>
      </c>
      <c r="BM19" s="253">
        <f t="shared" si="31"/>
        <v>1162.3309977767783</v>
      </c>
      <c r="BN19" s="253">
        <f t="shared" si="32"/>
        <v>1.1118370878865305</v>
      </c>
      <c r="BO19" s="253">
        <f t="shared" si="33"/>
        <v>1.5294443435444132E-2</v>
      </c>
      <c r="BP19" s="253">
        <f t="shared" si="34"/>
        <v>1.1147196957082975E-2</v>
      </c>
      <c r="BQ19" s="253">
        <f t="shared" si="35"/>
        <v>4.7879014192023631E-2</v>
      </c>
      <c r="BR19" s="254">
        <f t="shared" si="35"/>
        <v>1.4615402833996734E-2</v>
      </c>
      <c r="BT19" s="252">
        <v>2026</v>
      </c>
      <c r="BU19" s="253">
        <f t="shared" si="36"/>
        <v>0.37959362481474851</v>
      </c>
      <c r="BV19" s="253">
        <f t="shared" si="37"/>
        <v>1179.9050785431007</v>
      </c>
      <c r="BW19" s="253">
        <f t="shared" si="38"/>
        <v>1.1183270898981206</v>
      </c>
      <c r="BX19" s="253">
        <f t="shared" si="39"/>
        <v>1.4794255641971314E-2</v>
      </c>
      <c r="BY19" s="253">
        <f t="shared" si="40"/>
        <v>1.1247221879201999E-2</v>
      </c>
      <c r="BZ19" s="253">
        <f t="shared" si="41"/>
        <v>4.7658787227540737E-2</v>
      </c>
      <c r="CA19" s="254">
        <f t="shared" si="41"/>
        <v>1.4130463545121229E-2</v>
      </c>
    </row>
    <row r="20" spans="2:79" x14ac:dyDescent="0.25">
      <c r="B20" s="235"/>
      <c r="C20" s="247"/>
      <c r="D20" s="247">
        <v>15</v>
      </c>
      <c r="E20" s="391">
        <v>2.7614999999999998</v>
      </c>
      <c r="F20" s="392">
        <v>1263.5340000000001</v>
      </c>
      <c r="G20" s="389">
        <v>4.4103000000000003</v>
      </c>
      <c r="H20" s="389">
        <v>7.0300000000000001E-2</v>
      </c>
      <c r="I20" s="389">
        <v>1.21E-2</v>
      </c>
      <c r="J20" s="393">
        <v>0.46729999999999999</v>
      </c>
      <c r="K20" s="390">
        <v>6.7100000000000007E-2</v>
      </c>
      <c r="L20" s="238"/>
      <c r="M20" s="231"/>
      <c r="N20" s="235"/>
      <c r="O20" s="248"/>
      <c r="P20" s="247">
        <v>15</v>
      </c>
      <c r="Q20" s="408">
        <v>1.4816</v>
      </c>
      <c r="R20" s="409">
        <v>1393.0958000000001</v>
      </c>
      <c r="S20" s="406">
        <v>3.8153000000000001</v>
      </c>
      <c r="T20" s="406">
        <v>9.2999999999999992E-3</v>
      </c>
      <c r="U20" s="406">
        <v>1.2999999999999999E-2</v>
      </c>
      <c r="V20" s="410">
        <v>0.20649999999999999</v>
      </c>
      <c r="W20" s="407">
        <v>8.8999999999999999E-3</v>
      </c>
      <c r="X20" s="238"/>
      <c r="AA20" s="252">
        <v>2027</v>
      </c>
      <c r="AB20" s="253">
        <f t="shared" si="6"/>
        <v>0.46456888690437159</v>
      </c>
      <c r="AC20" s="253">
        <f t="shared" si="7"/>
        <v>1133.8788252953791</v>
      </c>
      <c r="AD20" s="253">
        <f t="shared" si="8"/>
        <v>1.1533637884215806</v>
      </c>
      <c r="AE20" s="253">
        <f t="shared" si="9"/>
        <v>1.387780476843844E-2</v>
      </c>
      <c r="AF20" s="253">
        <f t="shared" si="10"/>
        <v>1.0844885961613123E-2</v>
      </c>
      <c r="AG20" s="253">
        <f t="shared" si="11"/>
        <v>5.453332784333733E-2</v>
      </c>
      <c r="AH20" s="254">
        <f t="shared" ref="AH20" si="51">AH19*(1+AH$54)</f>
        <v>1.3265568881099961E-2</v>
      </c>
      <c r="AJ20" s="252">
        <v>2027</v>
      </c>
      <c r="AK20" s="253">
        <f t="shared" si="12"/>
        <v>0.42038628692354396</v>
      </c>
      <c r="AL20" s="253">
        <f t="shared" si="13"/>
        <v>1158.922143907354</v>
      </c>
      <c r="AM20" s="253">
        <f t="shared" si="14"/>
        <v>1.1025805998459128</v>
      </c>
      <c r="AN20" s="253">
        <f t="shared" si="15"/>
        <v>1.4447646151761197E-2</v>
      </c>
      <c r="AO20" s="253">
        <f t="shared" si="16"/>
        <v>1.1078217142467215E-2</v>
      </c>
      <c r="AP20" s="253">
        <f t="shared" si="17"/>
        <v>5.0297322793852899E-2</v>
      </c>
      <c r="AQ20" s="254">
        <f t="shared" si="17"/>
        <v>1.3790863032211916E-2</v>
      </c>
      <c r="AS20" s="252">
        <v>2027</v>
      </c>
      <c r="AT20" s="253">
        <f t="shared" si="18"/>
        <v>0.3587160770044861</v>
      </c>
      <c r="AU20" s="253">
        <f t="shared" si="19"/>
        <v>1109.4412202257708</v>
      </c>
      <c r="AV20" s="253">
        <f t="shared" si="20"/>
        <v>0.95190378119141483</v>
      </c>
      <c r="AW20" s="253">
        <f t="shared" si="21"/>
        <v>1.4814216239062473E-2</v>
      </c>
      <c r="AX20" s="253">
        <f t="shared" si="22"/>
        <v>1.0609311035632443E-2</v>
      </c>
      <c r="AY20" s="253">
        <f t="shared" si="23"/>
        <v>4.3782361449731841E-2</v>
      </c>
      <c r="AZ20" s="254">
        <f t="shared" si="23"/>
        <v>1.4114420477372163E-2</v>
      </c>
      <c r="BB20" s="252">
        <v>2027</v>
      </c>
      <c r="BC20" s="253">
        <f t="shared" si="24"/>
        <v>0.35827829020732721</v>
      </c>
      <c r="BD20" s="253">
        <f t="shared" si="25"/>
        <v>1099.9274064398933</v>
      </c>
      <c r="BE20" s="253">
        <f t="shared" si="26"/>
        <v>0.93563117207037017</v>
      </c>
      <c r="BF20" s="253">
        <f t="shared" si="27"/>
        <v>1.4732793381849546E-2</v>
      </c>
      <c r="BG20" s="253">
        <f t="shared" si="28"/>
        <v>1.0565800291736793E-2</v>
      </c>
      <c r="BH20" s="253">
        <f t="shared" si="29"/>
        <v>4.3371386731523021E-2</v>
      </c>
      <c r="BI20" s="254">
        <f t="shared" si="29"/>
        <v>1.4044062057446098E-2</v>
      </c>
      <c r="BK20" s="252">
        <v>2027</v>
      </c>
      <c r="BL20" s="253">
        <f t="shared" si="30"/>
        <v>0.35696063350138513</v>
      </c>
      <c r="BM20" s="253">
        <f t="shared" si="31"/>
        <v>1159.8763314158725</v>
      </c>
      <c r="BN20" s="253">
        <f t="shared" si="32"/>
        <v>0.98111678342905262</v>
      </c>
      <c r="BO20" s="253">
        <f t="shared" si="33"/>
        <v>1.3471847419991143E-2</v>
      </c>
      <c r="BP20" s="253">
        <f t="shared" si="34"/>
        <v>1.1122227060662997E-2</v>
      </c>
      <c r="BQ20" s="253">
        <f t="shared" si="35"/>
        <v>4.4296860591937132E-2</v>
      </c>
      <c r="BR20" s="254">
        <f t="shared" si="35"/>
        <v>1.2870875715844176E-2</v>
      </c>
      <c r="BT20" s="252">
        <v>2027</v>
      </c>
      <c r="BU20" s="253">
        <f t="shared" si="36"/>
        <v>0.35033455400428598</v>
      </c>
      <c r="BV20" s="253">
        <f t="shared" si="37"/>
        <v>1177.4043850948117</v>
      </c>
      <c r="BW20" s="253">
        <f t="shared" si="38"/>
        <v>0.98774685710135368</v>
      </c>
      <c r="BX20" s="253">
        <f t="shared" si="39"/>
        <v>1.307466748258246E-2</v>
      </c>
      <c r="BY20" s="253">
        <f t="shared" si="40"/>
        <v>1.12222516968688E-2</v>
      </c>
      <c r="BZ20" s="253">
        <f t="shared" si="41"/>
        <v>4.4193000569794631E-2</v>
      </c>
      <c r="CA20" s="254">
        <f t="shared" si="41"/>
        <v>1.2485879915734995E-2</v>
      </c>
    </row>
    <row r="21" spans="2:79" x14ac:dyDescent="0.25">
      <c r="B21" s="235"/>
      <c r="C21" s="247"/>
      <c r="D21" s="247">
        <v>16</v>
      </c>
      <c r="E21" s="391">
        <v>2.6560000000000001</v>
      </c>
      <c r="F21" s="392">
        <v>1263.4883</v>
      </c>
      <c r="G21" s="389">
        <v>4.4801000000000002</v>
      </c>
      <c r="H21" s="389">
        <v>7.0499999999999993E-2</v>
      </c>
      <c r="I21" s="389">
        <v>1.21E-2</v>
      </c>
      <c r="J21" s="393">
        <v>0.44419999999999998</v>
      </c>
      <c r="K21" s="390">
        <v>6.7400000000000002E-2</v>
      </c>
      <c r="L21" s="238"/>
      <c r="M21" s="231"/>
      <c r="N21" s="235"/>
      <c r="O21" s="248"/>
      <c r="P21" s="247">
        <v>16</v>
      </c>
      <c r="Q21" s="408">
        <v>1.3939999999999999</v>
      </c>
      <c r="R21" s="409">
        <v>1385.6759</v>
      </c>
      <c r="S21" s="406">
        <v>3.6086999999999998</v>
      </c>
      <c r="T21" s="406">
        <v>8.8999999999999999E-3</v>
      </c>
      <c r="U21" s="406">
        <v>1.2999999999999999E-2</v>
      </c>
      <c r="V21" s="410">
        <v>0.19450000000000001</v>
      </c>
      <c r="W21" s="407">
        <v>8.5000000000000006E-3</v>
      </c>
      <c r="X21" s="238"/>
      <c r="AA21" s="252">
        <v>2028</v>
      </c>
      <c r="AB21" s="253">
        <f t="shared" si="6"/>
        <v>0.43504868620001735</v>
      </c>
      <c r="AC21" s="253">
        <f t="shared" si="7"/>
        <v>1133.9552130081545</v>
      </c>
      <c r="AD21" s="253">
        <f t="shared" si="8"/>
        <v>1.0276490684665052</v>
      </c>
      <c r="AE21" s="253">
        <f t="shared" si="9"/>
        <v>1.2214930070617308E-2</v>
      </c>
      <c r="AF21" s="253">
        <f t="shared" si="10"/>
        <v>1.083988943430525E-2</v>
      </c>
      <c r="AG21" s="253">
        <f t="shared" si="11"/>
        <v>5.0798896379210201E-2</v>
      </c>
      <c r="AH21" s="254">
        <f t="shared" ref="AH21" si="52">AH20*(1+AH$54)</f>
        <v>1.1674236316056519E-2</v>
      </c>
      <c r="AJ21" s="252">
        <v>2028</v>
      </c>
      <c r="AK21" s="253">
        <f t="shared" si="12"/>
        <v>0.39291066411701159</v>
      </c>
      <c r="AL21" s="253">
        <f t="shared" si="13"/>
        <v>1156.8763642853432</v>
      </c>
      <c r="AM21" s="253">
        <f t="shared" si="14"/>
        <v>0.97507385448619899</v>
      </c>
      <c r="AN21" s="253">
        <f t="shared" si="15"/>
        <v>1.2594492541983289E-2</v>
      </c>
      <c r="AO21" s="253">
        <f t="shared" si="16"/>
        <v>1.1058272206112208E-2</v>
      </c>
      <c r="AP21" s="253">
        <f t="shared" si="17"/>
        <v>4.6538351537510812E-2</v>
      </c>
      <c r="AQ21" s="254">
        <f t="shared" si="17"/>
        <v>1.2018927849482941E-2</v>
      </c>
      <c r="AS21" s="252">
        <v>2028</v>
      </c>
      <c r="AT21" s="253">
        <f t="shared" si="18"/>
        <v>0.33086058451817701</v>
      </c>
      <c r="AU21" s="253">
        <f t="shared" si="19"/>
        <v>1106.289598281478</v>
      </c>
      <c r="AV21" s="253">
        <f t="shared" si="20"/>
        <v>0.83537729422085072</v>
      </c>
      <c r="AW21" s="253">
        <f t="shared" si="21"/>
        <v>1.2772535428868241E-2</v>
      </c>
      <c r="AX21" s="253">
        <f t="shared" si="22"/>
        <v>1.0574489465371479E-2</v>
      </c>
      <c r="AY21" s="253">
        <f t="shared" si="23"/>
        <v>4.0064726917227858E-2</v>
      </c>
      <c r="AZ21" s="254">
        <f t="shared" si="23"/>
        <v>1.216343495541704E-2</v>
      </c>
      <c r="BB21" s="252">
        <v>2028</v>
      </c>
      <c r="BC21" s="253">
        <f t="shared" si="24"/>
        <v>0.32940653824548333</v>
      </c>
      <c r="BD21" s="253">
        <f t="shared" si="25"/>
        <v>1097.0513180868381</v>
      </c>
      <c r="BE21" s="253">
        <f t="shared" si="26"/>
        <v>0.82129361719114224</v>
      </c>
      <c r="BF21" s="253">
        <f t="shared" si="27"/>
        <v>1.2745920267953351E-2</v>
      </c>
      <c r="BG21" s="253">
        <f t="shared" si="28"/>
        <v>1.0535931393946908E-2</v>
      </c>
      <c r="BH21" s="253">
        <f t="shared" si="29"/>
        <v>3.9707801071841367E-2</v>
      </c>
      <c r="BI21" s="254">
        <f t="shared" si="29"/>
        <v>1.2145459388338086E-2</v>
      </c>
      <c r="BK21" s="252">
        <v>2028</v>
      </c>
      <c r="BL21" s="253">
        <f t="shared" si="30"/>
        <v>0.32916673518507156</v>
      </c>
      <c r="BM21" s="253">
        <f t="shared" si="31"/>
        <v>1157.4268489371439</v>
      </c>
      <c r="BN21" s="253">
        <f t="shared" si="32"/>
        <v>0.86576545540132999</v>
      </c>
      <c r="BO21" s="253">
        <f t="shared" si="33"/>
        <v>1.1866445070300902E-2</v>
      </c>
      <c r="BP21" s="253">
        <f t="shared" si="34"/>
        <v>1.1097313097203533E-2</v>
      </c>
      <c r="BQ21" s="253">
        <f t="shared" si="35"/>
        <v>4.0982712184337453E-2</v>
      </c>
      <c r="BR21" s="254">
        <f t="shared" si="35"/>
        <v>1.1334579250006619E-2</v>
      </c>
      <c r="BT21" s="252">
        <v>2028</v>
      </c>
      <c r="BU21" s="253">
        <f t="shared" si="36"/>
        <v>0.32333077192558091</v>
      </c>
      <c r="BV21" s="253">
        <f t="shared" si="37"/>
        <v>1174.9089916217799</v>
      </c>
      <c r="BW21" s="253">
        <f t="shared" si="38"/>
        <v>0.8724136815844129</v>
      </c>
      <c r="BX21" s="253">
        <f t="shared" si="39"/>
        <v>1.1554953078891149E-2</v>
      </c>
      <c r="BY21" s="253">
        <f t="shared" si="40"/>
        <v>1.1197336951337013E-2</v>
      </c>
      <c r="BZ21" s="253">
        <f t="shared" si="41"/>
        <v>4.0979248801221488E-2</v>
      </c>
      <c r="CA21" s="254">
        <f t="shared" si="41"/>
        <v>1.1032702272812596E-2</v>
      </c>
    </row>
    <row r="22" spans="2:79" x14ac:dyDescent="0.25">
      <c r="B22" s="235"/>
      <c r="C22" s="247"/>
      <c r="D22" s="247">
        <v>17</v>
      </c>
      <c r="E22" s="391">
        <v>2.5503999999999998</v>
      </c>
      <c r="F22" s="392">
        <v>1263.4426000000001</v>
      </c>
      <c r="G22" s="389">
        <v>4.5499000000000001</v>
      </c>
      <c r="H22" s="389">
        <v>7.0800000000000002E-2</v>
      </c>
      <c r="I22" s="389">
        <v>1.21E-2</v>
      </c>
      <c r="J22" s="393">
        <v>0.42099999999999999</v>
      </c>
      <c r="K22" s="390">
        <v>6.7699999999999996E-2</v>
      </c>
      <c r="L22" s="238"/>
      <c r="M22" s="231"/>
      <c r="N22" s="235"/>
      <c r="O22" s="248"/>
      <c r="P22" s="247">
        <v>17</v>
      </c>
      <c r="Q22" s="408">
        <v>1.3064</v>
      </c>
      <c r="R22" s="409">
        <v>1378.2559000000001</v>
      </c>
      <c r="S22" s="406">
        <v>3.4020000000000001</v>
      </c>
      <c r="T22" s="406">
        <v>8.5000000000000006E-3</v>
      </c>
      <c r="U22" s="406">
        <v>1.29E-2</v>
      </c>
      <c r="V22" s="410">
        <v>0.18240000000000001</v>
      </c>
      <c r="W22" s="407">
        <v>8.0999999999999996E-3</v>
      </c>
      <c r="X22" s="238"/>
      <c r="AA22" s="252">
        <v>2029</v>
      </c>
      <c r="AB22" s="253">
        <f t="shared" si="6"/>
        <v>0.40740429395849875</v>
      </c>
      <c r="AC22" s="253">
        <f t="shared" si="7"/>
        <v>1134.0316058670553</v>
      </c>
      <c r="AD22" s="253">
        <f t="shared" si="8"/>
        <v>0.91563704229463894</v>
      </c>
      <c r="AE22" s="253">
        <f t="shared" si="9"/>
        <v>1.0751305348335705E-2</v>
      </c>
      <c r="AF22" s="253">
        <f t="shared" si="10"/>
        <v>1.0834895209030356E-2</v>
      </c>
      <c r="AG22" s="253">
        <f t="shared" si="11"/>
        <v>4.7320198040344139E-2</v>
      </c>
      <c r="AH22" s="254">
        <f t="shared" ref="AH22" si="53">AH21*(1+AH$54)</f>
        <v>1.0273799396368752E-2</v>
      </c>
      <c r="AJ22" s="252">
        <v>2029</v>
      </c>
      <c r="AK22" s="253">
        <f t="shared" si="12"/>
        <v>0.36723079410282505</v>
      </c>
      <c r="AL22" s="253">
        <f t="shared" si="13"/>
        <v>1154.8341959622312</v>
      </c>
      <c r="AM22" s="253">
        <f t="shared" si="14"/>
        <v>0.86231248929597026</v>
      </c>
      <c r="AN22" s="253">
        <f t="shared" si="15"/>
        <v>1.0979037050318155E-2</v>
      </c>
      <c r="AO22" s="253">
        <f t="shared" si="16"/>
        <v>1.1038363178106088E-2</v>
      </c>
      <c r="AP22" s="253">
        <f t="shared" si="17"/>
        <v>4.306030706059033E-2</v>
      </c>
      <c r="AQ22" s="254">
        <f t="shared" si="17"/>
        <v>1.047466183324914E-2</v>
      </c>
      <c r="AS22" s="252">
        <v>2029</v>
      </c>
      <c r="AT22" s="253">
        <f t="shared" si="18"/>
        <v>0.30516816336152325</v>
      </c>
      <c r="AU22" s="253">
        <f t="shared" si="19"/>
        <v>1103.1469292413126</v>
      </c>
      <c r="AV22" s="253">
        <f t="shared" si="20"/>
        <v>0.73311529745822146</v>
      </c>
      <c r="AW22" s="253">
        <f t="shared" si="21"/>
        <v>1.101223707343553E-2</v>
      </c>
      <c r="AX22" s="253">
        <f t="shared" si="22"/>
        <v>1.0539782185449573E-2</v>
      </c>
      <c r="AY22" s="253">
        <f t="shared" si="23"/>
        <v>3.6662763035178264E-2</v>
      </c>
      <c r="AZ22" s="254">
        <f t="shared" si="23"/>
        <v>1.0482127137408793E-2</v>
      </c>
      <c r="BB22" s="252">
        <v>2029</v>
      </c>
      <c r="BC22" s="253">
        <f t="shared" si="24"/>
        <v>0.30286140803028183</v>
      </c>
      <c r="BD22" s="253">
        <f t="shared" si="25"/>
        <v>1094.1827501248254</v>
      </c>
      <c r="BE22" s="253">
        <f t="shared" si="26"/>
        <v>0.7209285301454007</v>
      </c>
      <c r="BF22" s="253">
        <f t="shared" si="27"/>
        <v>1.1026998021785132E-2</v>
      </c>
      <c r="BG22" s="253">
        <f t="shared" si="28"/>
        <v>1.0506146933779404E-2</v>
      </c>
      <c r="BH22" s="253">
        <f t="shared" si="29"/>
        <v>3.6353678883293543E-2</v>
      </c>
      <c r="BI22" s="254">
        <f t="shared" si="29"/>
        <v>1.0503526910546474E-2</v>
      </c>
      <c r="BK22" s="252">
        <v>2029</v>
      </c>
      <c r="BL22" s="253">
        <f t="shared" si="30"/>
        <v>0.30353694324665242</v>
      </c>
      <c r="BM22" s="253">
        <f t="shared" si="31"/>
        <v>1154.9825393930214</v>
      </c>
      <c r="BN22" s="253">
        <f t="shared" si="32"/>
        <v>0.7639761508783468</v>
      </c>
      <c r="BO22" s="253">
        <f t="shared" si="33"/>
        <v>1.0452354025143877E-2</v>
      </c>
      <c r="BP22" s="253">
        <f t="shared" si="34"/>
        <v>1.1072454941413869E-2</v>
      </c>
      <c r="BQ22" s="253">
        <f t="shared" si="35"/>
        <v>3.7916517684098761E-2</v>
      </c>
      <c r="BR22" s="254">
        <f t="shared" si="35"/>
        <v>9.9816585608490851E-3</v>
      </c>
      <c r="BT22" s="252">
        <v>2029</v>
      </c>
      <c r="BU22" s="253">
        <f t="shared" si="36"/>
        <v>0.29840844095759117</v>
      </c>
      <c r="BV22" s="253">
        <f t="shared" si="37"/>
        <v>1172.4188868912263</v>
      </c>
      <c r="BW22" s="253">
        <f t="shared" si="38"/>
        <v>0.77054725747162922</v>
      </c>
      <c r="BX22" s="253">
        <f t="shared" si="39"/>
        <v>1.0211880404089959E-2</v>
      </c>
      <c r="BY22" s="253">
        <f t="shared" si="40"/>
        <v>1.1172477519530285E-2</v>
      </c>
      <c r="BZ22" s="253">
        <f t="shared" si="41"/>
        <v>3.7999203734995823E-2</v>
      </c>
      <c r="CA22" s="254">
        <f t="shared" si="41"/>
        <v>9.748653700179289E-3</v>
      </c>
    </row>
    <row r="23" spans="2:79" x14ac:dyDescent="0.25">
      <c r="B23" s="235"/>
      <c r="C23" s="247"/>
      <c r="D23" s="247">
        <v>18</v>
      </c>
      <c r="E23" s="391">
        <v>2.4449000000000001</v>
      </c>
      <c r="F23" s="392">
        <v>1263.3969</v>
      </c>
      <c r="G23" s="389">
        <v>4.6196999999999999</v>
      </c>
      <c r="H23" s="389">
        <v>7.1099999999999997E-2</v>
      </c>
      <c r="I23" s="389">
        <v>1.21E-2</v>
      </c>
      <c r="J23" s="393">
        <v>0.39789999999999998</v>
      </c>
      <c r="K23" s="390">
        <v>6.7900000000000002E-2</v>
      </c>
      <c r="L23" s="238"/>
      <c r="M23" s="231"/>
      <c r="N23" s="235"/>
      <c r="O23" s="248"/>
      <c r="P23" s="247">
        <v>18</v>
      </c>
      <c r="Q23" s="408">
        <v>1.2188000000000001</v>
      </c>
      <c r="R23" s="409">
        <v>1370.8359</v>
      </c>
      <c r="S23" s="406">
        <v>3.1953</v>
      </c>
      <c r="T23" s="406">
        <v>8.0999999999999996E-3</v>
      </c>
      <c r="U23" s="406">
        <v>1.29E-2</v>
      </c>
      <c r="V23" s="410">
        <v>0.1704</v>
      </c>
      <c r="W23" s="407">
        <v>7.7999999999999996E-3</v>
      </c>
      <c r="X23" s="238"/>
      <c r="AA23" s="252">
        <v>2030</v>
      </c>
      <c r="AB23" s="253">
        <f t="shared" si="6"/>
        <v>0.38151651527919556</v>
      </c>
      <c r="AC23" s="253">
        <f t="shared" si="7"/>
        <v>1134.1080038724283</v>
      </c>
      <c r="AD23" s="253">
        <f t="shared" si="8"/>
        <v>0.81583413924867554</v>
      </c>
      <c r="AE23" s="253">
        <f t="shared" si="9"/>
        <v>9.4630559507828862E-3</v>
      </c>
      <c r="AF23" s="253">
        <f t="shared" si="10"/>
        <v>1.0829903284727833E-2</v>
      </c>
      <c r="AG23" s="253">
        <f t="shared" si="11"/>
        <v>4.4079720273092343E-2</v>
      </c>
      <c r="AH23" s="254">
        <f t="shared" ref="AH23" si="54">AH22*(1+AH$54)</f>
        <v>9.0413583534928264E-3</v>
      </c>
      <c r="AJ23" s="252">
        <v>2030</v>
      </c>
      <c r="AK23" s="253">
        <f t="shared" si="12"/>
        <v>0.34322931000220874</v>
      </c>
      <c r="AL23" s="253">
        <f t="shared" si="13"/>
        <v>1152.7956325631962</v>
      </c>
      <c r="AM23" s="253">
        <f t="shared" si="14"/>
        <v>0.76259129067472842</v>
      </c>
      <c r="AN23" s="253">
        <f t="shared" si="15"/>
        <v>9.5707908953413957E-3</v>
      </c>
      <c r="AO23" s="253">
        <f t="shared" si="16"/>
        <v>1.101848999380039E-2</v>
      </c>
      <c r="AP23" s="253">
        <f t="shared" si="17"/>
        <v>3.984219429555455E-2</v>
      </c>
      <c r="AQ23" s="254">
        <f t="shared" si="17"/>
        <v>9.1288126441033887E-3</v>
      </c>
      <c r="AS23" s="252">
        <v>2030</v>
      </c>
      <c r="AT23" s="253">
        <f t="shared" si="18"/>
        <v>0.28147084387541799</v>
      </c>
      <c r="AU23" s="253">
        <f t="shared" si="19"/>
        <v>1100.0131876724995</v>
      </c>
      <c r="AV23" s="253">
        <f t="shared" si="20"/>
        <v>0.64337161553874767</v>
      </c>
      <c r="AW23" s="253">
        <f t="shared" si="21"/>
        <v>9.4945413177290709E-3</v>
      </c>
      <c r="AX23" s="253">
        <f t="shared" si="22"/>
        <v>1.0505188820746319E-2</v>
      </c>
      <c r="AY23" s="253">
        <f t="shared" si="23"/>
        <v>3.3549665673514049E-2</v>
      </c>
      <c r="AZ23" s="254">
        <f t="shared" si="23"/>
        <v>9.0332204453371576E-3</v>
      </c>
      <c r="BB23" s="252">
        <v>2030</v>
      </c>
      <c r="BC23" s="253">
        <f t="shared" si="24"/>
        <v>0.27845540942398878</v>
      </c>
      <c r="BD23" s="253">
        <f t="shared" si="25"/>
        <v>1091.3216828895488</v>
      </c>
      <c r="BE23" s="253">
        <f t="shared" si="26"/>
        <v>0.63282842420611152</v>
      </c>
      <c r="BF23" s="253">
        <f t="shared" si="27"/>
        <v>9.5398906329403881E-3</v>
      </c>
      <c r="BG23" s="253">
        <f t="shared" si="28"/>
        <v>1.0476446672534074E-2</v>
      </c>
      <c r="BH23" s="253">
        <f t="shared" si="29"/>
        <v>3.3282879753490639E-2</v>
      </c>
      <c r="BI23" s="254">
        <f t="shared" si="29"/>
        <v>9.0835656382421987E-3</v>
      </c>
      <c r="BK23" s="252">
        <v>2030</v>
      </c>
      <c r="BL23" s="253">
        <f t="shared" si="30"/>
        <v>0.27990275464414549</v>
      </c>
      <c r="BM23" s="253">
        <f t="shared" si="31"/>
        <v>1152.5433918590536</v>
      </c>
      <c r="BN23" s="253">
        <f t="shared" si="32"/>
        <v>0.67415436302010479</v>
      </c>
      <c r="BO23" s="253">
        <f t="shared" si="33"/>
        <v>9.2067762518342044E-3</v>
      </c>
      <c r="BP23" s="253">
        <f t="shared" si="34"/>
        <v>1.104765246828395E-2</v>
      </c>
      <c r="BQ23" s="253">
        <f t="shared" si="35"/>
        <v>3.5079725978653303E-2</v>
      </c>
      <c r="BR23" s="254">
        <f t="shared" si="35"/>
        <v>8.7902255061927982E-3</v>
      </c>
      <c r="BT23" s="252">
        <v>2030</v>
      </c>
      <c r="BU23" s="253">
        <f t="shared" si="36"/>
        <v>0.27540712288045299</v>
      </c>
      <c r="BV23" s="253">
        <f t="shared" si="37"/>
        <v>1169.9340596941781</v>
      </c>
      <c r="BW23" s="253">
        <f t="shared" si="38"/>
        <v>0.68057515434505478</v>
      </c>
      <c r="BX23" s="253">
        <f t="shared" si="39"/>
        <v>9.0249177712319884E-3</v>
      </c>
      <c r="BY23" s="253">
        <f t="shared" si="40"/>
        <v>1.114767327864551E-2</v>
      </c>
      <c r="BZ23" s="253">
        <f t="shared" si="41"/>
        <v>3.523587002528656E-2</v>
      </c>
      <c r="CA23" s="254">
        <f t="shared" si="41"/>
        <v>8.6140499957306927E-3</v>
      </c>
    </row>
    <row r="24" spans="2:79" x14ac:dyDescent="0.25">
      <c r="B24" s="235"/>
      <c r="C24" s="247"/>
      <c r="D24" s="247">
        <v>19</v>
      </c>
      <c r="E24" s="391">
        <v>2.3393999999999999</v>
      </c>
      <c r="F24" s="392">
        <v>1263.3513</v>
      </c>
      <c r="G24" s="389">
        <v>4.6894999999999998</v>
      </c>
      <c r="H24" s="389">
        <v>7.1300000000000002E-2</v>
      </c>
      <c r="I24" s="389">
        <v>1.21E-2</v>
      </c>
      <c r="J24" s="393">
        <v>0.37469999999999998</v>
      </c>
      <c r="K24" s="390">
        <v>6.8199999999999997E-2</v>
      </c>
      <c r="L24" s="238"/>
      <c r="M24" s="231"/>
      <c r="N24" s="235"/>
      <c r="O24" s="248"/>
      <c r="P24" s="247">
        <v>19</v>
      </c>
      <c r="Q24" s="408">
        <v>1.1312</v>
      </c>
      <c r="R24" s="409">
        <v>1363.4159</v>
      </c>
      <c r="S24" s="406">
        <v>2.9887000000000001</v>
      </c>
      <c r="T24" s="406">
        <v>7.7000000000000002E-3</v>
      </c>
      <c r="U24" s="406">
        <v>1.29E-2</v>
      </c>
      <c r="V24" s="410">
        <v>0.1583</v>
      </c>
      <c r="W24" s="407">
        <v>7.4000000000000003E-3</v>
      </c>
      <c r="X24" s="238"/>
      <c r="AA24" s="252">
        <v>2031</v>
      </c>
      <c r="AB24" s="253">
        <f t="shared" si="6"/>
        <v>0.35727372928869511</v>
      </c>
      <c r="AC24" s="253">
        <f t="shared" si="7"/>
        <v>1134.18440702462</v>
      </c>
      <c r="AD24" s="253">
        <f t="shared" si="8"/>
        <v>0.72690958536980144</v>
      </c>
      <c r="AE24" s="253">
        <f t="shared" si="9"/>
        <v>8.3291679499652195E-3</v>
      </c>
      <c r="AF24" s="253">
        <f t="shared" si="10"/>
        <v>1.0824913660337563E-2</v>
      </c>
      <c r="AG24" s="253">
        <f t="shared" si="11"/>
        <v>4.1061149780004962E-2</v>
      </c>
      <c r="AH24" s="254">
        <f t="shared" ref="AH24" si="55">AH23*(1+AH$54)</f>
        <v>7.9567604663536139E-3</v>
      </c>
      <c r="AJ24" s="252">
        <v>2031</v>
      </c>
      <c r="AK24" s="253">
        <f t="shared" si="12"/>
        <v>0.32079651580527963</v>
      </c>
      <c r="AL24" s="253">
        <f t="shared" si="13"/>
        <v>1150.7606677246702</v>
      </c>
      <c r="AM24" s="253">
        <f t="shared" si="14"/>
        <v>0.67440224261131521</v>
      </c>
      <c r="AN24" s="253">
        <f t="shared" si="15"/>
        <v>8.3431759946283567E-3</v>
      </c>
      <c r="AO24" s="253">
        <f t="shared" si="16"/>
        <v>1.0998652588663043E-2</v>
      </c>
      <c r="AP24" s="253">
        <f t="shared" si="17"/>
        <v>3.6864587241588455E-2</v>
      </c>
      <c r="AQ24" s="254">
        <f t="shared" si="17"/>
        <v>7.9558864637152785E-3</v>
      </c>
      <c r="AS24" s="252">
        <v>2031</v>
      </c>
      <c r="AT24" s="253">
        <f t="shared" si="18"/>
        <v>0.25961369980158622</v>
      </c>
      <c r="AU24" s="253">
        <f t="shared" si="19"/>
        <v>1096.8883482145111</v>
      </c>
      <c r="AV24" s="253">
        <f t="shared" si="20"/>
        <v>0.56461382966098439</v>
      </c>
      <c r="AW24" s="253">
        <f t="shared" si="21"/>
        <v>8.1860129084508713E-3</v>
      </c>
      <c r="AX24" s="253">
        <f t="shared" si="22"/>
        <v>1.0470708997372518E-2</v>
      </c>
      <c r="AY24" s="253">
        <f t="shared" si="23"/>
        <v>3.070090668628991E-2</v>
      </c>
      <c r="AZ24" s="254">
        <f t="shared" si="23"/>
        <v>7.78459090835152E-3</v>
      </c>
      <c r="BB24" s="252">
        <v>2031</v>
      </c>
      <c r="BC24" s="253">
        <f t="shared" si="24"/>
        <v>0.25601616112716669</v>
      </c>
      <c r="BD24" s="253">
        <f t="shared" si="25"/>
        <v>1088.4680967681209</v>
      </c>
      <c r="BE24" s="253">
        <f t="shared" si="26"/>
        <v>0.55549447377595251</v>
      </c>
      <c r="BF24" s="253">
        <f t="shared" si="27"/>
        <v>8.2533354144676326E-3</v>
      </c>
      <c r="BG24" s="253">
        <f t="shared" si="28"/>
        <v>1.0446830372185504E-2</v>
      </c>
      <c r="BH24" s="253">
        <f t="shared" si="29"/>
        <v>3.047147135346424E-2</v>
      </c>
      <c r="BI24" s="254">
        <f t="shared" si="29"/>
        <v>7.8555675067015704E-3</v>
      </c>
      <c r="BK24" s="252">
        <v>2031</v>
      </c>
      <c r="BL24" s="253">
        <f t="shared" si="30"/>
        <v>0.25810878642774482</v>
      </c>
      <c r="BM24" s="253">
        <f t="shared" si="31"/>
        <v>1150.1093954338598</v>
      </c>
      <c r="BN24" s="253">
        <f t="shared" si="32"/>
        <v>0.59489305347623855</v>
      </c>
      <c r="BO24" s="253">
        <f t="shared" si="33"/>
        <v>8.1096304954300941E-3</v>
      </c>
      <c r="BP24" s="253">
        <f t="shared" si="34"/>
        <v>1.1022905553083742E-2</v>
      </c>
      <c r="BQ24" s="253">
        <f t="shared" si="35"/>
        <v>3.2455173889913445E-2</v>
      </c>
      <c r="BR24" s="254">
        <f t="shared" si="35"/>
        <v>7.7410045613852041E-3</v>
      </c>
      <c r="BT24" s="252">
        <v>2031</v>
      </c>
      <c r="BU24" s="253">
        <f t="shared" si="36"/>
        <v>0.25417874604984231</v>
      </c>
      <c r="BV24" s="253">
        <f t="shared" si="37"/>
        <v>1167.454498845419</v>
      </c>
      <c r="BW24" s="253">
        <f t="shared" si="38"/>
        <v>0.60110854489524812</v>
      </c>
      <c r="BX24" s="253">
        <f t="shared" si="39"/>
        <v>7.9759199632692315E-3</v>
      </c>
      <c r="BY24" s="253">
        <f t="shared" si="40"/>
        <v>1.1122924106152217E-2</v>
      </c>
      <c r="BZ24" s="253">
        <f t="shared" si="41"/>
        <v>3.2673488241951036E-2</v>
      </c>
      <c r="CA24" s="254">
        <f t="shared" si="41"/>
        <v>7.6114979166388161E-3</v>
      </c>
    </row>
    <row r="25" spans="2:79" x14ac:dyDescent="0.25">
      <c r="B25" s="235"/>
      <c r="C25" s="247"/>
      <c r="D25" s="247">
        <v>20</v>
      </c>
      <c r="E25" s="391">
        <v>2.2339000000000002</v>
      </c>
      <c r="F25" s="392">
        <v>1263.3055999999999</v>
      </c>
      <c r="G25" s="389">
        <v>4.7592999999999996</v>
      </c>
      <c r="H25" s="389">
        <v>7.1599999999999997E-2</v>
      </c>
      <c r="I25" s="389">
        <v>1.21E-2</v>
      </c>
      <c r="J25" s="393">
        <v>0.35160000000000002</v>
      </c>
      <c r="K25" s="390">
        <v>6.8500000000000005E-2</v>
      </c>
      <c r="L25" s="238"/>
      <c r="M25" s="231"/>
      <c r="N25" s="235"/>
      <c r="O25" s="248"/>
      <c r="P25" s="247">
        <v>20</v>
      </c>
      <c r="Q25" s="408">
        <v>1.0436000000000001</v>
      </c>
      <c r="R25" s="409">
        <v>1355.9958999999999</v>
      </c>
      <c r="S25" s="406">
        <v>2.782</v>
      </c>
      <c r="T25" s="406">
        <v>7.3000000000000001E-3</v>
      </c>
      <c r="U25" s="406">
        <v>1.2800000000000001E-2</v>
      </c>
      <c r="V25" s="410">
        <v>0.14630000000000001</v>
      </c>
      <c r="W25" s="407">
        <v>7.0000000000000001E-3</v>
      </c>
      <c r="X25" s="238"/>
      <c r="AA25" s="252">
        <v>2032</v>
      </c>
      <c r="AB25" s="253">
        <f t="shared" si="6"/>
        <v>0.33457140786275252</v>
      </c>
      <c r="AC25" s="253">
        <f t="shared" si="7"/>
        <v>1134.2608153239773</v>
      </c>
      <c r="AD25" s="253">
        <f t="shared" si="8"/>
        <v>0.64767765883039985</v>
      </c>
      <c r="AE25" s="253">
        <f t="shared" si="9"/>
        <v>7.3311453614504267E-3</v>
      </c>
      <c r="AF25" s="253">
        <f t="shared" si="10"/>
        <v>1.0819926334799914E-2</v>
      </c>
      <c r="AG25" s="253">
        <f t="shared" si="11"/>
        <v>3.8249290395002813E-2</v>
      </c>
      <c r="AH25" s="254">
        <f t="shared" ref="AH25" si="56">AH24*(1+AH$54)</f>
        <v>7.0022705265818906E-3</v>
      </c>
      <c r="AJ25" s="252">
        <v>2032</v>
      </c>
      <c r="AK25" s="253">
        <f t="shared" si="12"/>
        <v>0.2998298850181087</v>
      </c>
      <c r="AL25" s="253">
        <f t="shared" si="13"/>
        <v>1148.7292950943179</v>
      </c>
      <c r="AM25" s="253">
        <f t="shared" si="14"/>
        <v>0.59641172198118775</v>
      </c>
      <c r="AN25" s="253">
        <f t="shared" si="15"/>
        <v>7.2730233518344869E-3</v>
      </c>
      <c r="AO25" s="253">
        <f t="shared" si="16"/>
        <v>1.0978850898278153E-2</v>
      </c>
      <c r="AP25" s="253">
        <f t="shared" si="17"/>
        <v>3.4109511700371339E-2</v>
      </c>
      <c r="AQ25" s="254">
        <f t="shared" si="17"/>
        <v>6.9336650768501784E-3</v>
      </c>
      <c r="AS25" s="252">
        <v>2032</v>
      </c>
      <c r="AT25" s="253">
        <f t="shared" si="18"/>
        <v>0.23945383541927268</v>
      </c>
      <c r="AU25" s="253">
        <f t="shared" si="19"/>
        <v>1093.7723855788624</v>
      </c>
      <c r="AV25" s="253">
        <f t="shared" si="20"/>
        <v>0.49549711076000019</v>
      </c>
      <c r="AW25" s="253">
        <f t="shared" si="21"/>
        <v>7.0578246062498688E-3</v>
      </c>
      <c r="AX25" s="253">
        <f t="shared" si="22"/>
        <v>1.0436342342666143E-2</v>
      </c>
      <c r="AY25" s="253">
        <f t="shared" si="23"/>
        <v>2.8094040654013965E-2</v>
      </c>
      <c r="AZ25" s="254">
        <f t="shared" si="23"/>
        <v>6.7085549364258095E-3</v>
      </c>
      <c r="BB25" s="252">
        <v>2032</v>
      </c>
      <c r="BC25" s="253">
        <f t="shared" si="24"/>
        <v>0.23538517313732879</v>
      </c>
      <c r="BD25" s="253">
        <f t="shared" si="25"/>
        <v>1085.6219721989373</v>
      </c>
      <c r="BE25" s="253">
        <f t="shared" si="26"/>
        <v>0.48761101523328559</v>
      </c>
      <c r="BF25" s="253">
        <f t="shared" si="27"/>
        <v>7.1402857836233282E-3</v>
      </c>
      <c r="BG25" s="253">
        <f t="shared" si="28"/>
        <v>1.0417297795381161E-2</v>
      </c>
      <c r="BH25" s="253">
        <f t="shared" si="29"/>
        <v>2.7897542920624577E-2</v>
      </c>
      <c r="BI25" s="254">
        <f t="shared" si="29"/>
        <v>6.7935812113851021E-3</v>
      </c>
      <c r="BK25" s="252">
        <v>2032</v>
      </c>
      <c r="BL25" s="253">
        <f t="shared" si="30"/>
        <v>0.2380117541747695</v>
      </c>
      <c r="BM25" s="253">
        <f t="shared" si="31"/>
        <v>1147.6805392390813</v>
      </c>
      <c r="BN25" s="253">
        <f t="shared" si="32"/>
        <v>0.52495061144287036</v>
      </c>
      <c r="BO25" s="253">
        <f t="shared" si="33"/>
        <v>7.1432285279342611E-3</v>
      </c>
      <c r="BP25" s="253">
        <f t="shared" si="34"/>
        <v>1.0998214071362608E-2</v>
      </c>
      <c r="BQ25" s="253">
        <f t="shared" si="35"/>
        <v>3.0026982333485056E-2</v>
      </c>
      <c r="BR25" s="254">
        <f t="shared" si="35"/>
        <v>6.8170209714381166E-3</v>
      </c>
      <c r="BT25" s="252">
        <v>2032</v>
      </c>
      <c r="BU25" s="253">
        <f t="shared" si="36"/>
        <v>0.23458665218152097</v>
      </c>
      <c r="BV25" s="253">
        <f t="shared" si="37"/>
        <v>1164.980193183439</v>
      </c>
      <c r="BW25" s="253">
        <f t="shared" si="38"/>
        <v>0.5309207667062229</v>
      </c>
      <c r="BX25" s="253">
        <f t="shared" si="39"/>
        <v>7.0488508452961288E-3</v>
      </c>
      <c r="BY25" s="253">
        <f t="shared" si="40"/>
        <v>1.1098229879791968E-2</v>
      </c>
      <c r="BZ25" s="253">
        <f t="shared" si="41"/>
        <v>3.0297444993717892E-2</v>
      </c>
      <c r="CA25" s="254">
        <f t="shared" si="41"/>
        <v>6.7256285444954244E-3</v>
      </c>
    </row>
    <row r="26" spans="2:79" x14ac:dyDescent="0.25">
      <c r="B26" s="235"/>
      <c r="C26" s="247"/>
      <c r="D26" s="247">
        <v>21</v>
      </c>
      <c r="E26" s="391">
        <v>2.1457999999999999</v>
      </c>
      <c r="F26" s="392">
        <v>1237.0128999999999</v>
      </c>
      <c r="G26" s="389">
        <v>4.6189999999999998</v>
      </c>
      <c r="H26" s="389">
        <v>6.7699999999999996E-2</v>
      </c>
      <c r="I26" s="389">
        <v>1.1900000000000001E-2</v>
      </c>
      <c r="J26" s="393">
        <v>0.33100000000000002</v>
      </c>
      <c r="K26" s="390">
        <v>6.4699999999999994E-2</v>
      </c>
      <c r="L26" s="238"/>
      <c r="M26" s="231"/>
      <c r="N26" s="235"/>
      <c r="O26" s="248"/>
      <c r="P26" s="247">
        <v>21</v>
      </c>
      <c r="Q26" s="408">
        <v>0.99880000000000002</v>
      </c>
      <c r="R26" s="409">
        <v>1325.7376999999999</v>
      </c>
      <c r="S26" s="406">
        <v>2.5266999999999999</v>
      </c>
      <c r="T26" s="406">
        <v>7.1999999999999998E-3</v>
      </c>
      <c r="U26" s="406">
        <v>1.2500000000000001E-2</v>
      </c>
      <c r="V26" s="410">
        <v>0.13719999999999999</v>
      </c>
      <c r="W26" s="407">
        <v>6.7999999999999996E-3</v>
      </c>
      <c r="X26" s="238"/>
      <c r="AA26" s="252">
        <v>2033</v>
      </c>
      <c r="AB26" s="253">
        <f t="shared" si="6"/>
        <v>0.31331166493020474</v>
      </c>
      <c r="AC26" s="253">
        <f t="shared" si="7"/>
        <v>1134.3372287708469</v>
      </c>
      <c r="AD26" s="253">
        <f t="shared" si="8"/>
        <v>0.57708187949485101</v>
      </c>
      <c r="AE26" s="253">
        <f t="shared" si="9"/>
        <v>6.4527084378146722E-3</v>
      </c>
      <c r="AF26" s="253">
        <f t="shared" si="10"/>
        <v>1.0814941307055743E-2</v>
      </c>
      <c r="AG26" s="253">
        <f t="shared" si="11"/>
        <v>3.5629986582442881E-2</v>
      </c>
      <c r="AH26" s="254">
        <f t="shared" ref="AH26" si="57">AH25*(1+AH$54)</f>
        <v>6.1622808346155329E-3</v>
      </c>
      <c r="AJ26" s="252">
        <v>2033</v>
      </c>
      <c r="AK26" s="253">
        <f t="shared" si="12"/>
        <v>0.28023359207722648</v>
      </c>
      <c r="AL26" s="253">
        <f t="shared" si="13"/>
        <v>1146.7015083310177</v>
      </c>
      <c r="AM26" s="253">
        <f t="shared" si="14"/>
        <v>0.52744033106896659</v>
      </c>
      <c r="AN26" s="253">
        <f t="shared" si="15"/>
        <v>6.3401357840691249E-3</v>
      </c>
      <c r="AO26" s="253">
        <f t="shared" si="16"/>
        <v>1.0959084858345802E-2</v>
      </c>
      <c r="AP26" s="253">
        <f t="shared" si="17"/>
        <v>3.1560336775593237E-2</v>
      </c>
      <c r="AQ26" s="254">
        <f t="shared" si="17"/>
        <v>6.0427850016704686E-3</v>
      </c>
      <c r="AS26" s="252">
        <v>2033</v>
      </c>
      <c r="AT26" s="253">
        <f t="shared" si="18"/>
        <v>0.2208594513341233</v>
      </c>
      <c r="AU26" s="253">
        <f t="shared" si="19"/>
        <v>1090.6652745489059</v>
      </c>
      <c r="AV26" s="253">
        <f t="shared" si="20"/>
        <v>0.43484125587027483</v>
      </c>
      <c r="AW26" s="253">
        <f t="shared" si="21"/>
        <v>6.0851221137412977E-3</v>
      </c>
      <c r="AX26" s="253">
        <f t="shared" si="22"/>
        <v>1.0402088485188303E-2</v>
      </c>
      <c r="AY26" s="253">
        <f t="shared" si="23"/>
        <v>2.570852803581386E-2</v>
      </c>
      <c r="AZ26" s="254">
        <f t="shared" si="23"/>
        <v>5.7812555425052368E-3</v>
      </c>
      <c r="BB26" s="252">
        <v>2033</v>
      </c>
      <c r="BC26" s="253">
        <f t="shared" si="24"/>
        <v>0.21641672732280856</v>
      </c>
      <c r="BD26" s="253">
        <f t="shared" si="25"/>
        <v>1082.7832896715438</v>
      </c>
      <c r="BE26" s="253">
        <f t="shared" si="26"/>
        <v>0.42802316386811257</v>
      </c>
      <c r="BF26" s="253">
        <f t="shared" si="27"/>
        <v>6.1773426755977814E-3</v>
      </c>
      <c r="BG26" s="253">
        <f t="shared" si="28"/>
        <v>1.0387848705439497E-2</v>
      </c>
      <c r="BH26" s="253">
        <f t="shared" si="29"/>
        <v>2.5541034496833058E-2</v>
      </c>
      <c r="BI26" s="254">
        <f t="shared" si="29"/>
        <v>5.8751637785954798E-3</v>
      </c>
      <c r="BK26" s="252">
        <v>2033</v>
      </c>
      <c r="BL26" s="253">
        <f t="shared" si="30"/>
        <v>0.21947952996636727</v>
      </c>
      <c r="BM26" s="253">
        <f t="shared" si="31"/>
        <v>1145.2568124193331</v>
      </c>
      <c r="BN26" s="253">
        <f t="shared" si="32"/>
        <v>0.46323140410522629</v>
      </c>
      <c r="BO26" s="253">
        <f t="shared" si="33"/>
        <v>6.2919899779709659E-3</v>
      </c>
      <c r="BP26" s="253">
        <f t="shared" si="34"/>
        <v>1.0973577898948685E-2</v>
      </c>
      <c r="BQ26" s="253">
        <f t="shared" si="35"/>
        <v>2.7780460246914062E-2</v>
      </c>
      <c r="BR26" s="254">
        <f t="shared" si="35"/>
        <v>6.0033261260230095E-3</v>
      </c>
      <c r="BT26" s="252">
        <v>2033</v>
      </c>
      <c r="BU26" s="253">
        <f t="shared" si="36"/>
        <v>0.21650471660971526</v>
      </c>
      <c r="BV26" s="253">
        <f t="shared" si="37"/>
        <v>1162.5111315703832</v>
      </c>
      <c r="BW26" s="253">
        <f t="shared" si="38"/>
        <v>0.46892838725000113</v>
      </c>
      <c r="BX26" s="253">
        <f t="shared" si="39"/>
        <v>6.2295382185437757E-3</v>
      </c>
      <c r="BY26" s="253">
        <f t="shared" si="40"/>
        <v>1.1073590477577755E-2</v>
      </c>
      <c r="BZ26" s="253">
        <f t="shared" si="41"/>
        <v>2.8094189587286888E-2</v>
      </c>
      <c r="CA26" s="254">
        <f t="shared" si="41"/>
        <v>5.9428616829349003E-3</v>
      </c>
    </row>
    <row r="27" spans="2:79" x14ac:dyDescent="0.25">
      <c r="B27" s="235"/>
      <c r="C27" s="247"/>
      <c r="D27" s="247">
        <v>22</v>
      </c>
      <c r="E27" s="391">
        <v>2.0577000000000001</v>
      </c>
      <c r="F27" s="392">
        <v>1210.7201</v>
      </c>
      <c r="G27" s="389">
        <v>4.4786000000000001</v>
      </c>
      <c r="H27" s="389">
        <v>6.3700000000000007E-2</v>
      </c>
      <c r="I27" s="389">
        <v>1.1599999999999999E-2</v>
      </c>
      <c r="J27" s="393">
        <v>0.3105</v>
      </c>
      <c r="K27" s="390">
        <v>6.0999999999999999E-2</v>
      </c>
      <c r="L27" s="238"/>
      <c r="M27" s="231"/>
      <c r="N27" s="235"/>
      <c r="O27" s="248"/>
      <c r="P27" s="247">
        <v>22</v>
      </c>
      <c r="Q27" s="408">
        <v>0.95409999999999995</v>
      </c>
      <c r="R27" s="409">
        <v>1295.4795999999999</v>
      </c>
      <c r="S27" s="406">
        <v>2.2713999999999999</v>
      </c>
      <c r="T27" s="406">
        <v>7.0000000000000001E-3</v>
      </c>
      <c r="U27" s="406">
        <v>1.2200000000000001E-2</v>
      </c>
      <c r="V27" s="410">
        <v>0.12820000000000001</v>
      </c>
      <c r="W27" s="407">
        <v>6.7000000000000002E-3</v>
      </c>
      <c r="X27" s="238"/>
      <c r="AA27" s="252">
        <v>2034</v>
      </c>
      <c r="AB27" s="253">
        <f t="shared" si="6"/>
        <v>0.2934028344155627</v>
      </c>
      <c r="AC27" s="253">
        <f t="shared" si="7"/>
        <v>1134.4136473655756</v>
      </c>
      <c r="AD27" s="253">
        <f t="shared" si="8"/>
        <v>0.51418092179170705</v>
      </c>
      <c r="AE27" s="253">
        <f t="shared" si="9"/>
        <v>5.6795281133542996E-3</v>
      </c>
      <c r="AF27" s="253">
        <f t="shared" si="10"/>
        <v>1.0809958576046398E-2</v>
      </c>
      <c r="AG27" s="253">
        <f t="shared" si="11"/>
        <v>3.3190052174952682E-2</v>
      </c>
      <c r="AH27" s="254">
        <f t="shared" ref="AH27" si="58">AH26*(1+AH$54)</f>
        <v>5.4230559845574126E-3</v>
      </c>
      <c r="AJ27" s="252">
        <v>2034</v>
      </c>
      <c r="AK27" s="253">
        <f t="shared" si="12"/>
        <v>0.26191807438995746</v>
      </c>
      <c r="AL27" s="253">
        <f t="shared" si="13"/>
        <v>1144.6773011048419</v>
      </c>
      <c r="AM27" s="253">
        <f t="shared" si="14"/>
        <v>0.46644506233718186</v>
      </c>
      <c r="AN27" s="253">
        <f t="shared" si="15"/>
        <v>5.5269067368379585E-3</v>
      </c>
      <c r="AO27" s="253">
        <f t="shared" si="16"/>
        <v>1.0939354404681833E-2</v>
      </c>
      <c r="AP27" s="253">
        <f t="shared" si="17"/>
        <v>2.9201674481256767E-2</v>
      </c>
      <c r="AQ27" s="254">
        <f t="shared" si="17"/>
        <v>5.266370695972771E-3</v>
      </c>
      <c r="AS27" s="252">
        <v>2034</v>
      </c>
      <c r="AT27" s="253">
        <f t="shared" si="18"/>
        <v>0.20370898281165706</v>
      </c>
      <c r="AU27" s="253">
        <f t="shared" si="19"/>
        <v>1087.5669899796278</v>
      </c>
      <c r="AV27" s="253">
        <f t="shared" si="20"/>
        <v>0.38161053556258634</v>
      </c>
      <c r="AW27" s="253">
        <f t="shared" si="21"/>
        <v>5.2464765285260232E-3</v>
      </c>
      <c r="AX27" s="253">
        <f t="shared" si="22"/>
        <v>1.0367947054719235E-2</v>
      </c>
      <c r="AY27" s="253">
        <f t="shared" si="23"/>
        <v>2.3525573338052264E-2</v>
      </c>
      <c r="AZ27" s="254">
        <f t="shared" si="23"/>
        <v>4.982133404955705E-3</v>
      </c>
      <c r="BB27" s="252">
        <v>2034</v>
      </c>
      <c r="BC27" s="253">
        <f t="shared" si="24"/>
        <v>0.19897684820525899</v>
      </c>
      <c r="BD27" s="253">
        <f t="shared" si="25"/>
        <v>1079.9520297265019</v>
      </c>
      <c r="BE27" s="253">
        <f t="shared" si="26"/>
        <v>0.37571716611040817</v>
      </c>
      <c r="BF27" s="253">
        <f t="shared" si="27"/>
        <v>5.344262637117801E-3</v>
      </c>
      <c r="BG27" s="253">
        <f t="shared" si="28"/>
        <v>1.0358482866348046E-2</v>
      </c>
      <c r="BH27" s="253">
        <f t="shared" si="29"/>
        <v>2.3383580590753024E-2</v>
      </c>
      <c r="BI27" s="254">
        <f t="shared" si="29"/>
        <v>5.0809062777484246E-3</v>
      </c>
      <c r="BK27" s="252">
        <v>2034</v>
      </c>
      <c r="BL27" s="253">
        <f t="shared" si="30"/>
        <v>0.20239027371264134</v>
      </c>
      <c r="BM27" s="253">
        <f t="shared" si="31"/>
        <v>1142.8382041421546</v>
      </c>
      <c r="BN27" s="253">
        <f t="shared" si="32"/>
        <v>0.40876861379301827</v>
      </c>
      <c r="BO27" s="253">
        <f t="shared" si="33"/>
        <v>5.5421911434122631E-3</v>
      </c>
      <c r="BP27" s="253">
        <f t="shared" si="34"/>
        <v>1.0948996911948254E-2</v>
      </c>
      <c r="BQ27" s="253">
        <f t="shared" si="35"/>
        <v>2.5702015705712095E-2</v>
      </c>
      <c r="BR27" s="254">
        <f t="shared" si="35"/>
        <v>5.286755714320102E-3</v>
      </c>
      <c r="BT27" s="252">
        <v>2034</v>
      </c>
      <c r="BU27" s="253">
        <f t="shared" si="36"/>
        <v>0.1998165363559655</v>
      </c>
      <c r="BV27" s="253">
        <f t="shared" si="37"/>
        <v>1160.0473028920028</v>
      </c>
      <c r="BW27" s="253">
        <f t="shared" si="38"/>
        <v>0.41417447980625327</v>
      </c>
      <c r="BX27" s="253">
        <f t="shared" si="39"/>
        <v>5.5054571685531585E-3</v>
      </c>
      <c r="BY27" s="253">
        <f t="shared" si="40"/>
        <v>1.1049005777793393E-2</v>
      </c>
      <c r="BZ27" s="253">
        <f t="shared" si="41"/>
        <v>2.6051156747048314E-2</v>
      </c>
      <c r="CA27" s="254">
        <f t="shared" si="41"/>
        <v>5.2511976760003269E-3</v>
      </c>
    </row>
    <row r="28" spans="2:79" x14ac:dyDescent="0.25">
      <c r="B28" s="235"/>
      <c r="C28" s="247"/>
      <c r="D28" s="247">
        <v>23</v>
      </c>
      <c r="E28" s="391">
        <v>1.9697</v>
      </c>
      <c r="F28" s="392">
        <v>1184.4274</v>
      </c>
      <c r="G28" s="389">
        <v>4.3383000000000003</v>
      </c>
      <c r="H28" s="389">
        <v>5.9799999999999999E-2</v>
      </c>
      <c r="I28" s="389">
        <v>1.14E-2</v>
      </c>
      <c r="J28" s="393">
        <v>0.28999999999999998</v>
      </c>
      <c r="K28" s="390">
        <v>5.7200000000000001E-2</v>
      </c>
      <c r="L28" s="238"/>
      <c r="M28" s="231"/>
      <c r="N28" s="235"/>
      <c r="O28" s="248"/>
      <c r="P28" s="247">
        <v>23</v>
      </c>
      <c r="Q28" s="408">
        <v>0.9093</v>
      </c>
      <c r="R28" s="409">
        <v>1265.2213999999999</v>
      </c>
      <c r="S28" s="406">
        <v>2.0160999999999998</v>
      </c>
      <c r="T28" s="406">
        <v>6.7999999999999996E-3</v>
      </c>
      <c r="U28" s="406">
        <v>1.1900000000000001E-2</v>
      </c>
      <c r="V28" s="410">
        <v>0.1192</v>
      </c>
      <c r="W28" s="407">
        <v>6.4999999999999997E-3</v>
      </c>
      <c r="X28" s="238"/>
      <c r="AA28" s="252">
        <v>2035</v>
      </c>
      <c r="AB28" s="253">
        <f t="shared" si="6"/>
        <v>0.27475907500048868</v>
      </c>
      <c r="AC28" s="253">
        <f t="shared" si="7"/>
        <v>1134.4900711085102</v>
      </c>
      <c r="AD28" s="253">
        <f t="shared" si="8"/>
        <v>0.45813606305919102</v>
      </c>
      <c r="AE28" s="253">
        <f t="shared" si="9"/>
        <v>4.9989922683235767E-3</v>
      </c>
      <c r="AF28" s="253">
        <f t="shared" si="10"/>
        <v>1.080497814071371E-2</v>
      </c>
      <c r="AG28" s="253">
        <f t="shared" si="11"/>
        <v>3.0917203991283518E-2</v>
      </c>
      <c r="AH28" s="254">
        <f t="shared" ref="AH28" si="59">AH27*(1+AH$54)</f>
        <v>4.7725082645440394E-3</v>
      </c>
      <c r="AJ28" s="252">
        <v>2035</v>
      </c>
      <c r="AK28" s="253">
        <f t="shared" si="12"/>
        <v>0.24479962299893823</v>
      </c>
      <c r="AL28" s="253">
        <f t="shared" si="13"/>
        <v>1142.6566670970362</v>
      </c>
      <c r="AM28" s="253">
        <f t="shared" si="14"/>
        <v>0.41250352573111915</v>
      </c>
      <c r="AN28" s="253">
        <f t="shared" si="15"/>
        <v>4.8179879923801591E-3</v>
      </c>
      <c r="AO28" s="253">
        <f t="shared" si="16"/>
        <v>1.0919659473217649E-2</v>
      </c>
      <c r="AP28" s="253">
        <f t="shared" si="17"/>
        <v>2.7019286852754246E-2</v>
      </c>
      <c r="AQ28" s="254">
        <f t="shared" si="17"/>
        <v>4.589714891351215E-3</v>
      </c>
      <c r="AS28" s="252">
        <v>2035</v>
      </c>
      <c r="AT28" s="253">
        <f t="shared" si="18"/>
        <v>0.18789030502199999</v>
      </c>
      <c r="AU28" s="253">
        <f t="shared" si="19"/>
        <v>1084.4775067974444</v>
      </c>
      <c r="AV28" s="253">
        <f t="shared" si="20"/>
        <v>0.33489600833966965</v>
      </c>
      <c r="AW28" s="253">
        <f t="shared" si="21"/>
        <v>4.5234122585998595E-3</v>
      </c>
      <c r="AX28" s="253">
        <f t="shared" si="22"/>
        <v>1.0333917682254301E-2</v>
      </c>
      <c r="AY28" s="253">
        <f t="shared" si="23"/>
        <v>2.152797702431954E-2</v>
      </c>
      <c r="AZ28" s="254">
        <f t="shared" si="23"/>
        <v>4.2934710431463408E-3</v>
      </c>
      <c r="BB28" s="252">
        <v>2035</v>
      </c>
      <c r="BC28" s="253">
        <f t="shared" si="24"/>
        <v>0.18294235668134523</v>
      </c>
      <c r="BD28" s="253">
        <f t="shared" si="25"/>
        <v>1077.1281729552556</v>
      </c>
      <c r="BE28" s="253">
        <f t="shared" si="26"/>
        <v>0.32980315278808825</v>
      </c>
      <c r="BF28" s="253">
        <f t="shared" si="27"/>
        <v>4.6235322588331967E-3</v>
      </c>
      <c r="BG28" s="253">
        <f t="shared" si="28"/>
        <v>1.0329200042761536E-2</v>
      </c>
      <c r="BH28" s="253">
        <f t="shared" si="29"/>
        <v>2.1408367046058398E-2</v>
      </c>
      <c r="BI28" s="254">
        <f t="shared" si="29"/>
        <v>4.3940236521261451E-3</v>
      </c>
      <c r="BK28" s="252">
        <v>2035</v>
      </c>
      <c r="BL28" s="253">
        <f t="shared" si="30"/>
        <v>0.18663163211509892</v>
      </c>
      <c r="BM28" s="253">
        <f t="shared" si="31"/>
        <v>1140.4247035979624</v>
      </c>
      <c r="BN28" s="253">
        <f t="shared" si="32"/>
        <v>0.36070909299644466</v>
      </c>
      <c r="BO28" s="253">
        <f t="shared" si="33"/>
        <v>4.881743737300508E-3</v>
      </c>
      <c r="BP28" s="253">
        <f t="shared" si="34"/>
        <v>1.0924470986745122E-2</v>
      </c>
      <c r="BQ28" s="253">
        <f t="shared" si="35"/>
        <v>2.3779073689394758E-2</v>
      </c>
      <c r="BR28" s="254">
        <f t="shared" si="35"/>
        <v>4.6557167470446907E-3</v>
      </c>
      <c r="BT28" s="252">
        <v>2035</v>
      </c>
      <c r="BU28" s="253">
        <f t="shared" si="36"/>
        <v>0.18441468078161602</v>
      </c>
      <c r="BV28" s="253">
        <f t="shared" si="37"/>
        <v>1157.5886960576045</v>
      </c>
      <c r="BW28" s="253">
        <f t="shared" si="38"/>
        <v>0.36581385215079038</v>
      </c>
      <c r="BX28" s="253">
        <f t="shared" si="39"/>
        <v>4.8655385955491699E-3</v>
      </c>
      <c r="BY28" s="253">
        <f t="shared" si="40"/>
        <v>1.1024475658992923E-2</v>
      </c>
      <c r="BZ28" s="253">
        <f t="shared" si="41"/>
        <v>2.4156694954688696E-2</v>
      </c>
      <c r="CA28" s="254">
        <f t="shared" si="41"/>
        <v>4.6400334558709096E-3</v>
      </c>
    </row>
    <row r="29" spans="2:79" x14ac:dyDescent="0.25">
      <c r="B29" s="235"/>
      <c r="C29" s="247"/>
      <c r="D29" s="247">
        <v>24</v>
      </c>
      <c r="E29" s="391">
        <v>1.8815999999999999</v>
      </c>
      <c r="F29" s="392">
        <v>1158.1346000000001</v>
      </c>
      <c r="G29" s="389">
        <v>4.1978999999999997</v>
      </c>
      <c r="H29" s="389">
        <v>5.5899999999999998E-2</v>
      </c>
      <c r="I29" s="389">
        <v>1.11E-2</v>
      </c>
      <c r="J29" s="393">
        <v>0.26950000000000002</v>
      </c>
      <c r="K29" s="390">
        <v>5.3400000000000003E-2</v>
      </c>
      <c r="L29" s="238"/>
      <c r="M29" s="231"/>
      <c r="N29" s="235"/>
      <c r="O29" s="248"/>
      <c r="P29" s="247">
        <v>24</v>
      </c>
      <c r="Q29" s="408">
        <v>0.86460000000000004</v>
      </c>
      <c r="R29" s="409">
        <v>1234.9632999999999</v>
      </c>
      <c r="S29" s="406">
        <v>1.7607999999999999</v>
      </c>
      <c r="T29" s="406">
        <v>6.6E-3</v>
      </c>
      <c r="U29" s="406">
        <v>1.1599999999999999E-2</v>
      </c>
      <c r="V29" s="410">
        <v>0.1101</v>
      </c>
      <c r="W29" s="407">
        <v>6.3E-3</v>
      </c>
      <c r="X29" s="238"/>
      <c r="AA29" s="252">
        <v>2036</v>
      </c>
      <c r="AB29" s="251">
        <f>Q56</f>
        <v>0.25729999999999997</v>
      </c>
      <c r="AC29" s="251">
        <f t="shared" ref="AC29:AH29" si="60">R56</f>
        <v>1134.5664999999999</v>
      </c>
      <c r="AD29" s="251">
        <f t="shared" si="60"/>
        <v>0.40820000000000001</v>
      </c>
      <c r="AE29" s="251">
        <f t="shared" si="60"/>
        <v>4.4000000000000003E-3</v>
      </c>
      <c r="AF29" s="251">
        <f t="shared" si="60"/>
        <v>1.0800000000000001E-2</v>
      </c>
      <c r="AG29" s="251">
        <f t="shared" si="60"/>
        <v>2.8799999999999999E-2</v>
      </c>
      <c r="AH29" s="251">
        <f t="shared" si="60"/>
        <v>4.1999999999999997E-3</v>
      </c>
      <c r="AJ29" s="252">
        <v>2036</v>
      </c>
      <c r="AK29" s="251">
        <f t="shared" ref="AK29:AQ29" si="61">Q59</f>
        <v>0.2288</v>
      </c>
      <c r="AL29" s="251">
        <f t="shared" si="61"/>
        <v>1140.6396</v>
      </c>
      <c r="AM29" s="251">
        <f t="shared" si="61"/>
        <v>0.36480000000000001</v>
      </c>
      <c r="AN29" s="251">
        <f t="shared" si="61"/>
        <v>4.1999999999999997E-3</v>
      </c>
      <c r="AO29" s="251">
        <f t="shared" si="61"/>
        <v>1.09E-2</v>
      </c>
      <c r="AP29" s="251">
        <f t="shared" si="61"/>
        <v>2.5000000000000001E-2</v>
      </c>
      <c r="AQ29" s="255">
        <f t="shared" si="61"/>
        <v>4.0000000000000001E-3</v>
      </c>
      <c r="AS29" s="252">
        <v>2036</v>
      </c>
      <c r="AT29" s="251">
        <f>Q64</f>
        <v>0.17330000000000001</v>
      </c>
      <c r="AU29" s="251">
        <f t="shared" ref="AU29:AZ29" si="62">R64</f>
        <v>1081.3968</v>
      </c>
      <c r="AV29" s="251">
        <f t="shared" si="62"/>
        <v>0.29389999999999999</v>
      </c>
      <c r="AW29" s="251">
        <f t="shared" si="62"/>
        <v>3.8999999999999998E-3</v>
      </c>
      <c r="AX29" s="251">
        <f t="shared" si="62"/>
        <v>1.03E-2</v>
      </c>
      <c r="AY29" s="251">
        <f t="shared" si="62"/>
        <v>1.9699999999999999E-2</v>
      </c>
      <c r="AZ29" s="255">
        <f t="shared" si="62"/>
        <v>3.7000000000000002E-3</v>
      </c>
      <c r="BB29" s="252">
        <v>2036</v>
      </c>
      <c r="BC29" s="251">
        <f>Q67</f>
        <v>0.16819999999999999</v>
      </c>
      <c r="BD29" s="251">
        <f t="shared" ref="BD29:BI29" si="63">R67</f>
        <v>1074.3117</v>
      </c>
      <c r="BE29" s="251">
        <f t="shared" si="63"/>
        <v>0.28949999999999998</v>
      </c>
      <c r="BF29" s="251">
        <f t="shared" si="63"/>
        <v>4.0000000000000001E-3</v>
      </c>
      <c r="BG29" s="251">
        <f t="shared" si="63"/>
        <v>1.03E-2</v>
      </c>
      <c r="BH29" s="251">
        <f t="shared" si="63"/>
        <v>1.9599999999999999E-2</v>
      </c>
      <c r="BI29" s="255">
        <f t="shared" si="63"/>
        <v>3.8E-3</v>
      </c>
      <c r="BK29" s="252">
        <v>2036</v>
      </c>
      <c r="BL29" s="251">
        <f t="shared" ref="BL29:BR29" si="64">Q73</f>
        <v>0.1721</v>
      </c>
      <c r="BM29" s="251">
        <f t="shared" si="64"/>
        <v>1138.0163</v>
      </c>
      <c r="BN29" s="251">
        <f t="shared" si="64"/>
        <v>0.31830000000000003</v>
      </c>
      <c r="BO29" s="251">
        <f t="shared" si="64"/>
        <v>4.3E-3</v>
      </c>
      <c r="BP29" s="251">
        <f t="shared" si="64"/>
        <v>1.09E-2</v>
      </c>
      <c r="BQ29" s="251">
        <f t="shared" si="64"/>
        <v>2.1999999999999999E-2</v>
      </c>
      <c r="BR29" s="255">
        <f t="shared" si="64"/>
        <v>4.1000000000000003E-3</v>
      </c>
      <c r="BT29" s="252">
        <v>2036</v>
      </c>
      <c r="BU29" s="251">
        <f t="shared" ref="BU29:CA29" si="65">Q74</f>
        <v>0.17019999999999999</v>
      </c>
      <c r="BV29" s="251">
        <f t="shared" si="65"/>
        <v>1155.1352999999999</v>
      </c>
      <c r="BW29" s="251">
        <f t="shared" si="65"/>
        <v>0.3231</v>
      </c>
      <c r="BX29" s="251">
        <f t="shared" si="65"/>
        <v>4.3E-3</v>
      </c>
      <c r="BY29" s="251">
        <f t="shared" si="65"/>
        <v>1.0999999999999999E-2</v>
      </c>
      <c r="BZ29" s="251">
        <f t="shared" si="65"/>
        <v>2.24E-2</v>
      </c>
      <c r="CA29" s="255">
        <f t="shared" si="65"/>
        <v>4.1000000000000003E-3</v>
      </c>
    </row>
    <row r="30" spans="2:79" x14ac:dyDescent="0.25">
      <c r="B30" s="235"/>
      <c r="C30" s="247"/>
      <c r="D30" s="247">
        <v>25</v>
      </c>
      <c r="E30" s="391">
        <v>1.7935000000000001</v>
      </c>
      <c r="F30" s="392">
        <v>1131.8418999999999</v>
      </c>
      <c r="G30" s="389">
        <v>4.0575999999999999</v>
      </c>
      <c r="H30" s="389">
        <v>5.1999999999999998E-2</v>
      </c>
      <c r="I30" s="389">
        <v>1.0800000000000001E-2</v>
      </c>
      <c r="J30" s="393">
        <v>0.24890000000000001</v>
      </c>
      <c r="K30" s="390">
        <v>4.9700000000000001E-2</v>
      </c>
      <c r="L30" s="238"/>
      <c r="M30" s="231"/>
      <c r="N30" s="235"/>
      <c r="O30" s="248"/>
      <c r="P30" s="247">
        <v>25</v>
      </c>
      <c r="Q30" s="408">
        <v>0.81979999999999997</v>
      </c>
      <c r="R30" s="409">
        <v>1204.7050999999999</v>
      </c>
      <c r="S30" s="406">
        <v>1.5055000000000001</v>
      </c>
      <c r="T30" s="406">
        <v>6.4999999999999997E-3</v>
      </c>
      <c r="U30" s="406">
        <v>1.1299999999999999E-2</v>
      </c>
      <c r="V30" s="410">
        <v>0.1011</v>
      </c>
      <c r="W30" s="407">
        <v>6.1999999999999998E-3</v>
      </c>
      <c r="X30" s="238"/>
      <c r="AA30" s="252">
        <v>2037</v>
      </c>
      <c r="AB30" s="251">
        <f>AB29</f>
        <v>0.25729999999999997</v>
      </c>
      <c r="AC30" s="251">
        <f t="shared" ref="AC30:AG30" si="66">AC29</f>
        <v>1134.5664999999999</v>
      </c>
      <c r="AD30" s="251">
        <f t="shared" si="66"/>
        <v>0.40820000000000001</v>
      </c>
      <c r="AE30" s="251">
        <f t="shared" si="66"/>
        <v>4.4000000000000003E-3</v>
      </c>
      <c r="AF30" s="251">
        <f t="shared" si="66"/>
        <v>1.0800000000000001E-2</v>
      </c>
      <c r="AG30" s="251">
        <f t="shared" si="66"/>
        <v>2.8799999999999999E-2</v>
      </c>
      <c r="AH30" s="255">
        <f t="shared" ref="AH30" si="67">AH29</f>
        <v>4.1999999999999997E-3</v>
      </c>
      <c r="AJ30" s="252">
        <v>2037</v>
      </c>
      <c r="AK30" s="251">
        <f>AK29</f>
        <v>0.2288</v>
      </c>
      <c r="AL30" s="251">
        <f t="shared" ref="AL30:AL53" si="68">AL29</f>
        <v>1140.6396</v>
      </c>
      <c r="AM30" s="251">
        <f t="shared" ref="AM30:AM53" si="69">AM29</f>
        <v>0.36480000000000001</v>
      </c>
      <c r="AN30" s="251">
        <f t="shared" ref="AN30:AN53" si="70">AN29</f>
        <v>4.1999999999999997E-3</v>
      </c>
      <c r="AO30" s="251">
        <f t="shared" ref="AO30:AO53" si="71">AO29</f>
        <v>1.09E-2</v>
      </c>
      <c r="AP30" s="251">
        <f t="shared" ref="AP30:AQ53" si="72">AP29</f>
        <v>2.5000000000000001E-2</v>
      </c>
      <c r="AQ30" s="255">
        <f t="shared" si="72"/>
        <v>4.0000000000000001E-3</v>
      </c>
      <c r="AS30" s="252">
        <v>2037</v>
      </c>
      <c r="AT30" s="251">
        <f>AT29</f>
        <v>0.17330000000000001</v>
      </c>
      <c r="AU30" s="251">
        <f t="shared" ref="AU30:AU53" si="73">AU29</f>
        <v>1081.3968</v>
      </c>
      <c r="AV30" s="251">
        <f t="shared" ref="AV30:AV53" si="74">AV29</f>
        <v>0.29389999999999999</v>
      </c>
      <c r="AW30" s="251">
        <f t="shared" ref="AW30:AW53" si="75">AW29</f>
        <v>3.8999999999999998E-3</v>
      </c>
      <c r="AX30" s="251">
        <f t="shared" ref="AX30:AX53" si="76">AX29</f>
        <v>1.03E-2</v>
      </c>
      <c r="AY30" s="251">
        <f t="shared" ref="AY30:AZ53" si="77">AY29</f>
        <v>1.9699999999999999E-2</v>
      </c>
      <c r="AZ30" s="255">
        <f t="shared" si="77"/>
        <v>3.7000000000000002E-3</v>
      </c>
      <c r="BB30" s="252">
        <v>2037</v>
      </c>
      <c r="BC30" s="251">
        <f>BC29</f>
        <v>0.16819999999999999</v>
      </c>
      <c r="BD30" s="251">
        <f t="shared" ref="BD30:BD53" si="78">BD29</f>
        <v>1074.3117</v>
      </c>
      <c r="BE30" s="251">
        <f t="shared" ref="BE30:BE53" si="79">BE29</f>
        <v>0.28949999999999998</v>
      </c>
      <c r="BF30" s="251">
        <f t="shared" ref="BF30:BF53" si="80">BF29</f>
        <v>4.0000000000000001E-3</v>
      </c>
      <c r="BG30" s="251">
        <f t="shared" ref="BG30:BG53" si="81">BG29</f>
        <v>1.03E-2</v>
      </c>
      <c r="BH30" s="251">
        <f t="shared" ref="BH30:BI53" si="82">BH29</f>
        <v>1.9599999999999999E-2</v>
      </c>
      <c r="BI30" s="255">
        <f t="shared" si="82"/>
        <v>3.8E-3</v>
      </c>
      <c r="BK30" s="252">
        <v>2037</v>
      </c>
      <c r="BL30" s="251">
        <f>BL29</f>
        <v>0.1721</v>
      </c>
      <c r="BM30" s="251">
        <f t="shared" ref="BM30:BM53" si="83">BM29</f>
        <v>1138.0163</v>
      </c>
      <c r="BN30" s="251">
        <f t="shared" ref="BN30:BN53" si="84">BN29</f>
        <v>0.31830000000000003</v>
      </c>
      <c r="BO30" s="251">
        <f t="shared" ref="BO30:BO53" si="85">BO29</f>
        <v>4.3E-3</v>
      </c>
      <c r="BP30" s="251">
        <f t="shared" ref="BP30:BP53" si="86">BP29</f>
        <v>1.09E-2</v>
      </c>
      <c r="BQ30" s="251">
        <f t="shared" ref="BQ30:BR53" si="87">BQ29</f>
        <v>2.1999999999999999E-2</v>
      </c>
      <c r="BR30" s="255">
        <f t="shared" si="87"/>
        <v>4.1000000000000003E-3</v>
      </c>
      <c r="BT30" s="252">
        <v>2037</v>
      </c>
      <c r="BU30" s="251">
        <f>BU29</f>
        <v>0.17019999999999999</v>
      </c>
      <c r="BV30" s="251">
        <f t="shared" ref="BV30:BV53" si="88">BV29</f>
        <v>1155.1352999999999</v>
      </c>
      <c r="BW30" s="251">
        <f t="shared" ref="BW30:BW53" si="89">BW29</f>
        <v>0.3231</v>
      </c>
      <c r="BX30" s="251">
        <f t="shared" ref="BX30:BX53" si="90">BX29</f>
        <v>4.3E-3</v>
      </c>
      <c r="BY30" s="251">
        <f t="shared" ref="BY30:BY53" si="91">BY29</f>
        <v>1.0999999999999999E-2</v>
      </c>
      <c r="BZ30" s="251">
        <f t="shared" ref="BZ30:CA53" si="92">BZ29</f>
        <v>2.24E-2</v>
      </c>
      <c r="CA30" s="255">
        <f t="shared" si="92"/>
        <v>4.1000000000000003E-3</v>
      </c>
    </row>
    <row r="31" spans="2:79" x14ac:dyDescent="0.25">
      <c r="B31" s="235"/>
      <c r="C31" s="247"/>
      <c r="D31" s="247">
        <v>26</v>
      </c>
      <c r="E31" s="391">
        <v>1.7441</v>
      </c>
      <c r="F31" s="392">
        <v>1138.5187000000001</v>
      </c>
      <c r="G31" s="389">
        <v>4.0782999999999996</v>
      </c>
      <c r="H31" s="389">
        <v>5.1900000000000002E-2</v>
      </c>
      <c r="I31" s="389">
        <v>1.09E-2</v>
      </c>
      <c r="J31" s="393">
        <v>0.2424</v>
      </c>
      <c r="K31" s="390">
        <v>4.9599999999999998E-2</v>
      </c>
      <c r="L31" s="238"/>
      <c r="M31" s="231"/>
      <c r="N31" s="235"/>
      <c r="O31" s="248"/>
      <c r="P31" s="247">
        <v>26</v>
      </c>
      <c r="Q31" s="408">
        <v>0.79169999999999996</v>
      </c>
      <c r="R31" s="409">
        <v>1207.2277999999999</v>
      </c>
      <c r="S31" s="406">
        <v>1.4248000000000001</v>
      </c>
      <c r="T31" s="406">
        <v>6.3E-3</v>
      </c>
      <c r="U31" s="406">
        <v>1.14E-2</v>
      </c>
      <c r="V31" s="410">
        <v>9.7299999999999998E-2</v>
      </c>
      <c r="W31" s="407">
        <v>6.0000000000000001E-3</v>
      </c>
      <c r="X31" s="238"/>
      <c r="AA31" s="252">
        <v>2038</v>
      </c>
      <c r="AB31" s="251">
        <f t="shared" ref="AB31:AB53" si="93">AB30</f>
        <v>0.25729999999999997</v>
      </c>
      <c r="AC31" s="251">
        <f t="shared" ref="AC31:AC53" si="94">AC30</f>
        <v>1134.5664999999999</v>
      </c>
      <c r="AD31" s="251">
        <f t="shared" ref="AD31:AD53" si="95">AD30</f>
        <v>0.40820000000000001</v>
      </c>
      <c r="AE31" s="251">
        <f t="shared" ref="AE31:AE53" si="96">AE30</f>
        <v>4.4000000000000003E-3</v>
      </c>
      <c r="AF31" s="251">
        <f t="shared" ref="AF31:AF53" si="97">AF30</f>
        <v>1.0800000000000001E-2</v>
      </c>
      <c r="AG31" s="251">
        <f t="shared" ref="AG31:AH53" si="98">AG30</f>
        <v>2.8799999999999999E-2</v>
      </c>
      <c r="AH31" s="255">
        <f t="shared" si="98"/>
        <v>4.1999999999999997E-3</v>
      </c>
      <c r="AJ31" s="252">
        <v>2038</v>
      </c>
      <c r="AK31" s="251">
        <f t="shared" ref="AK31:AK53" si="99">AK30</f>
        <v>0.2288</v>
      </c>
      <c r="AL31" s="251">
        <f t="shared" si="68"/>
        <v>1140.6396</v>
      </c>
      <c r="AM31" s="251">
        <f t="shared" si="69"/>
        <v>0.36480000000000001</v>
      </c>
      <c r="AN31" s="251">
        <f t="shared" si="70"/>
        <v>4.1999999999999997E-3</v>
      </c>
      <c r="AO31" s="251">
        <f t="shared" si="71"/>
        <v>1.09E-2</v>
      </c>
      <c r="AP31" s="251">
        <f t="shared" si="72"/>
        <v>2.5000000000000001E-2</v>
      </c>
      <c r="AQ31" s="255">
        <f t="shared" si="72"/>
        <v>4.0000000000000001E-3</v>
      </c>
      <c r="AS31" s="252">
        <v>2038</v>
      </c>
      <c r="AT31" s="251">
        <f t="shared" ref="AT31:AT53" si="100">AT30</f>
        <v>0.17330000000000001</v>
      </c>
      <c r="AU31" s="251">
        <f t="shared" si="73"/>
        <v>1081.3968</v>
      </c>
      <c r="AV31" s="251">
        <f t="shared" si="74"/>
        <v>0.29389999999999999</v>
      </c>
      <c r="AW31" s="251">
        <f t="shared" si="75"/>
        <v>3.8999999999999998E-3</v>
      </c>
      <c r="AX31" s="251">
        <f t="shared" si="76"/>
        <v>1.03E-2</v>
      </c>
      <c r="AY31" s="251">
        <f t="shared" si="77"/>
        <v>1.9699999999999999E-2</v>
      </c>
      <c r="AZ31" s="255">
        <f t="shared" si="77"/>
        <v>3.7000000000000002E-3</v>
      </c>
      <c r="BB31" s="252">
        <v>2038</v>
      </c>
      <c r="BC31" s="251">
        <f t="shared" ref="BC31:BC53" si="101">BC30</f>
        <v>0.16819999999999999</v>
      </c>
      <c r="BD31" s="251">
        <f t="shared" si="78"/>
        <v>1074.3117</v>
      </c>
      <c r="BE31" s="251">
        <f t="shared" si="79"/>
        <v>0.28949999999999998</v>
      </c>
      <c r="BF31" s="251">
        <f t="shared" si="80"/>
        <v>4.0000000000000001E-3</v>
      </c>
      <c r="BG31" s="251">
        <f t="shared" si="81"/>
        <v>1.03E-2</v>
      </c>
      <c r="BH31" s="251">
        <f t="shared" si="82"/>
        <v>1.9599999999999999E-2</v>
      </c>
      <c r="BI31" s="255">
        <f t="shared" si="82"/>
        <v>3.8E-3</v>
      </c>
      <c r="BK31" s="252">
        <v>2038</v>
      </c>
      <c r="BL31" s="251">
        <f t="shared" ref="BL31:BL53" si="102">BL30</f>
        <v>0.1721</v>
      </c>
      <c r="BM31" s="251">
        <f t="shared" si="83"/>
        <v>1138.0163</v>
      </c>
      <c r="BN31" s="251">
        <f t="shared" si="84"/>
        <v>0.31830000000000003</v>
      </c>
      <c r="BO31" s="251">
        <f t="shared" si="85"/>
        <v>4.3E-3</v>
      </c>
      <c r="BP31" s="251">
        <f t="shared" si="86"/>
        <v>1.09E-2</v>
      </c>
      <c r="BQ31" s="251">
        <f t="shared" si="87"/>
        <v>2.1999999999999999E-2</v>
      </c>
      <c r="BR31" s="255">
        <f t="shared" si="87"/>
        <v>4.1000000000000003E-3</v>
      </c>
      <c r="BT31" s="252">
        <v>2038</v>
      </c>
      <c r="BU31" s="251">
        <f t="shared" ref="BU31:BU53" si="103">BU30</f>
        <v>0.17019999999999999</v>
      </c>
      <c r="BV31" s="251">
        <f t="shared" si="88"/>
        <v>1155.1352999999999</v>
      </c>
      <c r="BW31" s="251">
        <f t="shared" si="89"/>
        <v>0.3231</v>
      </c>
      <c r="BX31" s="251">
        <f t="shared" si="90"/>
        <v>4.3E-3</v>
      </c>
      <c r="BY31" s="251">
        <f t="shared" si="91"/>
        <v>1.0999999999999999E-2</v>
      </c>
      <c r="BZ31" s="251">
        <f t="shared" si="92"/>
        <v>2.24E-2</v>
      </c>
      <c r="CA31" s="255">
        <f t="shared" si="92"/>
        <v>4.1000000000000003E-3</v>
      </c>
    </row>
    <row r="32" spans="2:79" x14ac:dyDescent="0.25">
      <c r="B32" s="235"/>
      <c r="C32" s="247"/>
      <c r="D32" s="247">
        <v>27</v>
      </c>
      <c r="E32" s="391">
        <v>1.6947000000000001</v>
      </c>
      <c r="F32" s="392">
        <v>1145.1956</v>
      </c>
      <c r="G32" s="389">
        <v>4.0990000000000002</v>
      </c>
      <c r="H32" s="389">
        <v>5.1799999999999999E-2</v>
      </c>
      <c r="I32" s="389">
        <v>1.0999999999999999E-2</v>
      </c>
      <c r="J32" s="393">
        <v>0.23580000000000001</v>
      </c>
      <c r="K32" s="390">
        <v>4.9500000000000002E-2</v>
      </c>
      <c r="L32" s="238"/>
      <c r="M32" s="231"/>
      <c r="N32" s="235"/>
      <c r="O32" s="248"/>
      <c r="P32" s="247">
        <v>27</v>
      </c>
      <c r="Q32" s="408">
        <v>0.76370000000000005</v>
      </c>
      <c r="R32" s="409">
        <v>1209.7503999999999</v>
      </c>
      <c r="S32" s="406">
        <v>1.3441000000000001</v>
      </c>
      <c r="T32" s="406">
        <v>6.1000000000000004E-3</v>
      </c>
      <c r="U32" s="406">
        <v>1.14E-2</v>
      </c>
      <c r="V32" s="410">
        <v>9.3600000000000003E-2</v>
      </c>
      <c r="W32" s="407">
        <v>5.8999999999999999E-3</v>
      </c>
      <c r="X32" s="238"/>
      <c r="AA32" s="252">
        <v>2039</v>
      </c>
      <c r="AB32" s="251">
        <f t="shared" si="93"/>
        <v>0.25729999999999997</v>
      </c>
      <c r="AC32" s="251">
        <f t="shared" si="94"/>
        <v>1134.5664999999999</v>
      </c>
      <c r="AD32" s="251">
        <f t="shared" si="95"/>
        <v>0.40820000000000001</v>
      </c>
      <c r="AE32" s="251">
        <f t="shared" si="96"/>
        <v>4.4000000000000003E-3</v>
      </c>
      <c r="AF32" s="251">
        <f t="shared" si="97"/>
        <v>1.0800000000000001E-2</v>
      </c>
      <c r="AG32" s="251">
        <f t="shared" si="98"/>
        <v>2.8799999999999999E-2</v>
      </c>
      <c r="AH32" s="255">
        <f t="shared" si="98"/>
        <v>4.1999999999999997E-3</v>
      </c>
      <c r="AJ32" s="252">
        <v>2039</v>
      </c>
      <c r="AK32" s="251">
        <f t="shared" si="99"/>
        <v>0.2288</v>
      </c>
      <c r="AL32" s="251">
        <f t="shared" si="68"/>
        <v>1140.6396</v>
      </c>
      <c r="AM32" s="251">
        <f t="shared" si="69"/>
        <v>0.36480000000000001</v>
      </c>
      <c r="AN32" s="251">
        <f t="shared" si="70"/>
        <v>4.1999999999999997E-3</v>
      </c>
      <c r="AO32" s="251">
        <f t="shared" si="71"/>
        <v>1.09E-2</v>
      </c>
      <c r="AP32" s="251">
        <f t="shared" si="72"/>
        <v>2.5000000000000001E-2</v>
      </c>
      <c r="AQ32" s="255">
        <f t="shared" si="72"/>
        <v>4.0000000000000001E-3</v>
      </c>
      <c r="AS32" s="252">
        <v>2039</v>
      </c>
      <c r="AT32" s="251">
        <f t="shared" si="100"/>
        <v>0.17330000000000001</v>
      </c>
      <c r="AU32" s="251">
        <f t="shared" si="73"/>
        <v>1081.3968</v>
      </c>
      <c r="AV32" s="251">
        <f t="shared" si="74"/>
        <v>0.29389999999999999</v>
      </c>
      <c r="AW32" s="251">
        <f t="shared" si="75"/>
        <v>3.8999999999999998E-3</v>
      </c>
      <c r="AX32" s="251">
        <f t="shared" si="76"/>
        <v>1.03E-2</v>
      </c>
      <c r="AY32" s="251">
        <f t="shared" si="77"/>
        <v>1.9699999999999999E-2</v>
      </c>
      <c r="AZ32" s="255">
        <f t="shared" si="77"/>
        <v>3.7000000000000002E-3</v>
      </c>
      <c r="BB32" s="252">
        <v>2039</v>
      </c>
      <c r="BC32" s="251">
        <f t="shared" si="101"/>
        <v>0.16819999999999999</v>
      </c>
      <c r="BD32" s="251">
        <f t="shared" si="78"/>
        <v>1074.3117</v>
      </c>
      <c r="BE32" s="251">
        <f t="shared" si="79"/>
        <v>0.28949999999999998</v>
      </c>
      <c r="BF32" s="251">
        <f t="shared" si="80"/>
        <v>4.0000000000000001E-3</v>
      </c>
      <c r="BG32" s="251">
        <f t="shared" si="81"/>
        <v>1.03E-2</v>
      </c>
      <c r="BH32" s="251">
        <f t="shared" si="82"/>
        <v>1.9599999999999999E-2</v>
      </c>
      <c r="BI32" s="255">
        <f t="shared" si="82"/>
        <v>3.8E-3</v>
      </c>
      <c r="BK32" s="252">
        <v>2039</v>
      </c>
      <c r="BL32" s="251">
        <f t="shared" si="102"/>
        <v>0.1721</v>
      </c>
      <c r="BM32" s="251">
        <f t="shared" si="83"/>
        <v>1138.0163</v>
      </c>
      <c r="BN32" s="251">
        <f t="shared" si="84"/>
        <v>0.31830000000000003</v>
      </c>
      <c r="BO32" s="251">
        <f t="shared" si="85"/>
        <v>4.3E-3</v>
      </c>
      <c r="BP32" s="251">
        <f t="shared" si="86"/>
        <v>1.09E-2</v>
      </c>
      <c r="BQ32" s="251">
        <f t="shared" si="87"/>
        <v>2.1999999999999999E-2</v>
      </c>
      <c r="BR32" s="255">
        <f t="shared" si="87"/>
        <v>4.1000000000000003E-3</v>
      </c>
      <c r="BT32" s="252">
        <v>2039</v>
      </c>
      <c r="BU32" s="251">
        <f t="shared" si="103"/>
        <v>0.17019999999999999</v>
      </c>
      <c r="BV32" s="251">
        <f t="shared" si="88"/>
        <v>1155.1352999999999</v>
      </c>
      <c r="BW32" s="251">
        <f t="shared" si="89"/>
        <v>0.3231</v>
      </c>
      <c r="BX32" s="251">
        <f t="shared" si="90"/>
        <v>4.3E-3</v>
      </c>
      <c r="BY32" s="251">
        <f t="shared" si="91"/>
        <v>1.0999999999999999E-2</v>
      </c>
      <c r="BZ32" s="251">
        <f t="shared" si="92"/>
        <v>2.24E-2</v>
      </c>
      <c r="CA32" s="255">
        <f t="shared" si="92"/>
        <v>4.1000000000000003E-3</v>
      </c>
    </row>
    <row r="33" spans="2:79" x14ac:dyDescent="0.25">
      <c r="B33" s="235"/>
      <c r="C33" s="247"/>
      <c r="D33" s="247">
        <v>28</v>
      </c>
      <c r="E33" s="391">
        <v>1.6453</v>
      </c>
      <c r="F33" s="392">
        <v>1151.8724</v>
      </c>
      <c r="G33" s="389">
        <v>4.1196999999999999</v>
      </c>
      <c r="H33" s="389">
        <v>5.1700000000000003E-2</v>
      </c>
      <c r="I33" s="389">
        <v>1.0999999999999999E-2</v>
      </c>
      <c r="J33" s="393">
        <v>0.2293</v>
      </c>
      <c r="K33" s="390">
        <v>4.9500000000000002E-2</v>
      </c>
      <c r="L33" s="238"/>
      <c r="M33" s="231"/>
      <c r="N33" s="235"/>
      <c r="O33" s="248"/>
      <c r="P33" s="247">
        <v>28</v>
      </c>
      <c r="Q33" s="408">
        <v>0.73560000000000003</v>
      </c>
      <c r="R33" s="409">
        <v>1212.2731000000001</v>
      </c>
      <c r="S33" s="406">
        <v>1.2634000000000001</v>
      </c>
      <c r="T33" s="406">
        <v>6.0000000000000001E-3</v>
      </c>
      <c r="U33" s="406">
        <v>1.14E-2</v>
      </c>
      <c r="V33" s="410">
        <v>8.9800000000000005E-2</v>
      </c>
      <c r="W33" s="407">
        <v>5.7000000000000002E-3</v>
      </c>
      <c r="X33" s="238"/>
      <c r="AA33" s="252">
        <v>2040</v>
      </c>
      <c r="AB33" s="251">
        <f t="shared" si="93"/>
        <v>0.25729999999999997</v>
      </c>
      <c r="AC33" s="251">
        <f t="shared" si="94"/>
        <v>1134.5664999999999</v>
      </c>
      <c r="AD33" s="251">
        <f t="shared" si="95"/>
        <v>0.40820000000000001</v>
      </c>
      <c r="AE33" s="251">
        <f t="shared" si="96"/>
        <v>4.4000000000000003E-3</v>
      </c>
      <c r="AF33" s="251">
        <f t="shared" si="97"/>
        <v>1.0800000000000001E-2</v>
      </c>
      <c r="AG33" s="251">
        <f t="shared" si="98"/>
        <v>2.8799999999999999E-2</v>
      </c>
      <c r="AH33" s="255">
        <f t="shared" si="98"/>
        <v>4.1999999999999997E-3</v>
      </c>
      <c r="AJ33" s="252">
        <v>2040</v>
      </c>
      <c r="AK33" s="251">
        <f t="shared" si="99"/>
        <v>0.2288</v>
      </c>
      <c r="AL33" s="251">
        <f t="shared" si="68"/>
        <v>1140.6396</v>
      </c>
      <c r="AM33" s="251">
        <f t="shared" si="69"/>
        <v>0.36480000000000001</v>
      </c>
      <c r="AN33" s="251">
        <f t="shared" si="70"/>
        <v>4.1999999999999997E-3</v>
      </c>
      <c r="AO33" s="251">
        <f t="shared" si="71"/>
        <v>1.09E-2</v>
      </c>
      <c r="AP33" s="251">
        <f t="shared" si="72"/>
        <v>2.5000000000000001E-2</v>
      </c>
      <c r="AQ33" s="255">
        <f t="shared" si="72"/>
        <v>4.0000000000000001E-3</v>
      </c>
      <c r="AS33" s="252">
        <v>2040</v>
      </c>
      <c r="AT33" s="251">
        <f t="shared" si="100"/>
        <v>0.17330000000000001</v>
      </c>
      <c r="AU33" s="251">
        <f t="shared" si="73"/>
        <v>1081.3968</v>
      </c>
      <c r="AV33" s="251">
        <f t="shared" si="74"/>
        <v>0.29389999999999999</v>
      </c>
      <c r="AW33" s="251">
        <f t="shared" si="75"/>
        <v>3.8999999999999998E-3</v>
      </c>
      <c r="AX33" s="251">
        <f t="shared" si="76"/>
        <v>1.03E-2</v>
      </c>
      <c r="AY33" s="251">
        <f t="shared" si="77"/>
        <v>1.9699999999999999E-2</v>
      </c>
      <c r="AZ33" s="255">
        <f t="shared" si="77"/>
        <v>3.7000000000000002E-3</v>
      </c>
      <c r="BB33" s="252">
        <v>2040</v>
      </c>
      <c r="BC33" s="251">
        <f t="shared" si="101"/>
        <v>0.16819999999999999</v>
      </c>
      <c r="BD33" s="251">
        <f t="shared" si="78"/>
        <v>1074.3117</v>
      </c>
      <c r="BE33" s="251">
        <f t="shared" si="79"/>
        <v>0.28949999999999998</v>
      </c>
      <c r="BF33" s="251">
        <f t="shared" si="80"/>
        <v>4.0000000000000001E-3</v>
      </c>
      <c r="BG33" s="251">
        <f t="shared" si="81"/>
        <v>1.03E-2</v>
      </c>
      <c r="BH33" s="251">
        <f t="shared" si="82"/>
        <v>1.9599999999999999E-2</v>
      </c>
      <c r="BI33" s="255">
        <f t="shared" si="82"/>
        <v>3.8E-3</v>
      </c>
      <c r="BK33" s="252">
        <v>2040</v>
      </c>
      <c r="BL33" s="251">
        <f t="shared" si="102"/>
        <v>0.1721</v>
      </c>
      <c r="BM33" s="251">
        <f t="shared" si="83"/>
        <v>1138.0163</v>
      </c>
      <c r="BN33" s="251">
        <f t="shared" si="84"/>
        <v>0.31830000000000003</v>
      </c>
      <c r="BO33" s="251">
        <f t="shared" si="85"/>
        <v>4.3E-3</v>
      </c>
      <c r="BP33" s="251">
        <f t="shared" si="86"/>
        <v>1.09E-2</v>
      </c>
      <c r="BQ33" s="251">
        <f t="shared" si="87"/>
        <v>2.1999999999999999E-2</v>
      </c>
      <c r="BR33" s="255">
        <f t="shared" si="87"/>
        <v>4.1000000000000003E-3</v>
      </c>
      <c r="BT33" s="252">
        <v>2040</v>
      </c>
      <c r="BU33" s="251">
        <f t="shared" si="103"/>
        <v>0.17019999999999999</v>
      </c>
      <c r="BV33" s="251">
        <f t="shared" si="88"/>
        <v>1155.1352999999999</v>
      </c>
      <c r="BW33" s="251">
        <f t="shared" si="89"/>
        <v>0.3231</v>
      </c>
      <c r="BX33" s="251">
        <f t="shared" si="90"/>
        <v>4.3E-3</v>
      </c>
      <c r="BY33" s="251">
        <f t="shared" si="91"/>
        <v>1.0999999999999999E-2</v>
      </c>
      <c r="BZ33" s="251">
        <f t="shared" si="92"/>
        <v>2.24E-2</v>
      </c>
      <c r="CA33" s="255">
        <f t="shared" si="92"/>
        <v>4.1000000000000003E-3</v>
      </c>
    </row>
    <row r="34" spans="2:79" x14ac:dyDescent="0.25">
      <c r="B34" s="235"/>
      <c r="C34" s="247"/>
      <c r="D34" s="247">
        <v>29</v>
      </c>
      <c r="E34" s="391">
        <v>1.5959000000000001</v>
      </c>
      <c r="F34" s="392">
        <v>1158.5492999999999</v>
      </c>
      <c r="G34" s="389">
        <v>4.1403999999999996</v>
      </c>
      <c r="H34" s="389">
        <v>5.1700000000000003E-2</v>
      </c>
      <c r="I34" s="389">
        <v>1.11E-2</v>
      </c>
      <c r="J34" s="393">
        <v>0.22270000000000001</v>
      </c>
      <c r="K34" s="390">
        <v>4.9399999999999999E-2</v>
      </c>
      <c r="L34" s="238"/>
      <c r="M34" s="231"/>
      <c r="N34" s="235"/>
      <c r="O34" s="248"/>
      <c r="P34" s="247">
        <v>29</v>
      </c>
      <c r="Q34" s="408">
        <v>0.70750000000000002</v>
      </c>
      <c r="R34" s="409">
        <v>1214.7958000000001</v>
      </c>
      <c r="S34" s="406">
        <v>1.1827000000000001</v>
      </c>
      <c r="T34" s="406">
        <v>5.7999999999999996E-3</v>
      </c>
      <c r="U34" s="406">
        <v>1.15E-2</v>
      </c>
      <c r="V34" s="410">
        <v>8.6099999999999996E-2</v>
      </c>
      <c r="W34" s="407">
        <v>5.5999999999999999E-3</v>
      </c>
      <c r="X34" s="238"/>
      <c r="AA34" s="252">
        <v>2041</v>
      </c>
      <c r="AB34" s="251">
        <f t="shared" si="93"/>
        <v>0.25729999999999997</v>
      </c>
      <c r="AC34" s="251">
        <f t="shared" si="94"/>
        <v>1134.5664999999999</v>
      </c>
      <c r="AD34" s="251">
        <f t="shared" si="95"/>
        <v>0.40820000000000001</v>
      </c>
      <c r="AE34" s="251">
        <f t="shared" si="96"/>
        <v>4.4000000000000003E-3</v>
      </c>
      <c r="AF34" s="251">
        <f t="shared" si="97"/>
        <v>1.0800000000000001E-2</v>
      </c>
      <c r="AG34" s="251">
        <f t="shared" si="98"/>
        <v>2.8799999999999999E-2</v>
      </c>
      <c r="AH34" s="255">
        <f t="shared" si="98"/>
        <v>4.1999999999999997E-3</v>
      </c>
      <c r="AJ34" s="252">
        <v>2041</v>
      </c>
      <c r="AK34" s="251">
        <f t="shared" si="99"/>
        <v>0.2288</v>
      </c>
      <c r="AL34" s="251">
        <f t="shared" si="68"/>
        <v>1140.6396</v>
      </c>
      <c r="AM34" s="251">
        <f t="shared" si="69"/>
        <v>0.36480000000000001</v>
      </c>
      <c r="AN34" s="251">
        <f t="shared" si="70"/>
        <v>4.1999999999999997E-3</v>
      </c>
      <c r="AO34" s="251">
        <f t="shared" si="71"/>
        <v>1.09E-2</v>
      </c>
      <c r="AP34" s="251">
        <f t="shared" si="72"/>
        <v>2.5000000000000001E-2</v>
      </c>
      <c r="AQ34" s="255">
        <f t="shared" si="72"/>
        <v>4.0000000000000001E-3</v>
      </c>
      <c r="AS34" s="252">
        <v>2041</v>
      </c>
      <c r="AT34" s="251">
        <f t="shared" si="100"/>
        <v>0.17330000000000001</v>
      </c>
      <c r="AU34" s="251">
        <f t="shared" si="73"/>
        <v>1081.3968</v>
      </c>
      <c r="AV34" s="251">
        <f t="shared" si="74"/>
        <v>0.29389999999999999</v>
      </c>
      <c r="AW34" s="251">
        <f t="shared" si="75"/>
        <v>3.8999999999999998E-3</v>
      </c>
      <c r="AX34" s="251">
        <f t="shared" si="76"/>
        <v>1.03E-2</v>
      </c>
      <c r="AY34" s="251">
        <f t="shared" si="77"/>
        <v>1.9699999999999999E-2</v>
      </c>
      <c r="AZ34" s="255">
        <f t="shared" si="77"/>
        <v>3.7000000000000002E-3</v>
      </c>
      <c r="BB34" s="252">
        <v>2041</v>
      </c>
      <c r="BC34" s="251">
        <f t="shared" si="101"/>
        <v>0.16819999999999999</v>
      </c>
      <c r="BD34" s="251">
        <f t="shared" si="78"/>
        <v>1074.3117</v>
      </c>
      <c r="BE34" s="251">
        <f t="shared" si="79"/>
        <v>0.28949999999999998</v>
      </c>
      <c r="BF34" s="251">
        <f t="shared" si="80"/>
        <v>4.0000000000000001E-3</v>
      </c>
      <c r="BG34" s="251">
        <f t="shared" si="81"/>
        <v>1.03E-2</v>
      </c>
      <c r="BH34" s="251">
        <f t="shared" si="82"/>
        <v>1.9599999999999999E-2</v>
      </c>
      <c r="BI34" s="255">
        <f t="shared" si="82"/>
        <v>3.8E-3</v>
      </c>
      <c r="BK34" s="252">
        <v>2041</v>
      </c>
      <c r="BL34" s="251">
        <f t="shared" si="102"/>
        <v>0.1721</v>
      </c>
      <c r="BM34" s="251">
        <f t="shared" si="83"/>
        <v>1138.0163</v>
      </c>
      <c r="BN34" s="251">
        <f t="shared" si="84"/>
        <v>0.31830000000000003</v>
      </c>
      <c r="BO34" s="251">
        <f t="shared" si="85"/>
        <v>4.3E-3</v>
      </c>
      <c r="BP34" s="251">
        <f t="shared" si="86"/>
        <v>1.09E-2</v>
      </c>
      <c r="BQ34" s="251">
        <f t="shared" si="87"/>
        <v>2.1999999999999999E-2</v>
      </c>
      <c r="BR34" s="255">
        <f t="shared" si="87"/>
        <v>4.1000000000000003E-3</v>
      </c>
      <c r="BT34" s="252">
        <v>2041</v>
      </c>
      <c r="BU34" s="251">
        <f t="shared" si="103"/>
        <v>0.17019999999999999</v>
      </c>
      <c r="BV34" s="251">
        <f t="shared" si="88"/>
        <v>1155.1352999999999</v>
      </c>
      <c r="BW34" s="251">
        <f t="shared" si="89"/>
        <v>0.3231</v>
      </c>
      <c r="BX34" s="251">
        <f t="shared" si="90"/>
        <v>4.3E-3</v>
      </c>
      <c r="BY34" s="251">
        <f t="shared" si="91"/>
        <v>1.0999999999999999E-2</v>
      </c>
      <c r="BZ34" s="251">
        <f t="shared" si="92"/>
        <v>2.24E-2</v>
      </c>
      <c r="CA34" s="255">
        <f t="shared" si="92"/>
        <v>4.1000000000000003E-3</v>
      </c>
    </row>
    <row r="35" spans="2:79" x14ac:dyDescent="0.25">
      <c r="B35" s="235"/>
      <c r="C35" s="247"/>
      <c r="D35" s="247">
        <v>30</v>
      </c>
      <c r="E35" s="391">
        <v>1.5465</v>
      </c>
      <c r="F35" s="392">
        <v>1165.2261000000001</v>
      </c>
      <c r="G35" s="389">
        <v>4.1611000000000002</v>
      </c>
      <c r="H35" s="389">
        <v>5.16E-2</v>
      </c>
      <c r="I35" s="389">
        <v>1.11E-2</v>
      </c>
      <c r="J35" s="393">
        <v>0.2162</v>
      </c>
      <c r="K35" s="390">
        <v>4.9299999999999997E-2</v>
      </c>
      <c r="L35" s="238"/>
      <c r="M35" s="231"/>
      <c r="N35" s="235"/>
      <c r="O35" s="248"/>
      <c r="P35" s="247">
        <v>30</v>
      </c>
      <c r="Q35" s="408">
        <v>0.6794</v>
      </c>
      <c r="R35" s="409">
        <v>1217.3184000000001</v>
      </c>
      <c r="S35" s="406">
        <v>1.1020000000000001</v>
      </c>
      <c r="T35" s="406">
        <v>5.5999999999999999E-3</v>
      </c>
      <c r="U35" s="406">
        <v>1.15E-2</v>
      </c>
      <c r="V35" s="410">
        <v>8.2299999999999998E-2</v>
      </c>
      <c r="W35" s="407">
        <v>5.4000000000000003E-3</v>
      </c>
      <c r="X35" s="238"/>
      <c r="AA35" s="252">
        <v>2042</v>
      </c>
      <c r="AB35" s="251">
        <f t="shared" si="93"/>
        <v>0.25729999999999997</v>
      </c>
      <c r="AC35" s="251">
        <f t="shared" si="94"/>
        <v>1134.5664999999999</v>
      </c>
      <c r="AD35" s="251">
        <f t="shared" si="95"/>
        <v>0.40820000000000001</v>
      </c>
      <c r="AE35" s="251">
        <f t="shared" si="96"/>
        <v>4.4000000000000003E-3</v>
      </c>
      <c r="AF35" s="251">
        <f t="shared" si="97"/>
        <v>1.0800000000000001E-2</v>
      </c>
      <c r="AG35" s="251">
        <f t="shared" si="98"/>
        <v>2.8799999999999999E-2</v>
      </c>
      <c r="AH35" s="255">
        <f t="shared" si="98"/>
        <v>4.1999999999999997E-3</v>
      </c>
      <c r="AJ35" s="252">
        <v>2042</v>
      </c>
      <c r="AK35" s="251">
        <f t="shared" si="99"/>
        <v>0.2288</v>
      </c>
      <c r="AL35" s="251">
        <f t="shared" si="68"/>
        <v>1140.6396</v>
      </c>
      <c r="AM35" s="251">
        <f t="shared" si="69"/>
        <v>0.36480000000000001</v>
      </c>
      <c r="AN35" s="251">
        <f t="shared" si="70"/>
        <v>4.1999999999999997E-3</v>
      </c>
      <c r="AO35" s="251">
        <f t="shared" si="71"/>
        <v>1.09E-2</v>
      </c>
      <c r="AP35" s="251">
        <f t="shared" si="72"/>
        <v>2.5000000000000001E-2</v>
      </c>
      <c r="AQ35" s="255">
        <f t="shared" si="72"/>
        <v>4.0000000000000001E-3</v>
      </c>
      <c r="AS35" s="252">
        <v>2042</v>
      </c>
      <c r="AT35" s="251">
        <f t="shared" si="100"/>
        <v>0.17330000000000001</v>
      </c>
      <c r="AU35" s="251">
        <f t="shared" si="73"/>
        <v>1081.3968</v>
      </c>
      <c r="AV35" s="251">
        <f t="shared" si="74"/>
        <v>0.29389999999999999</v>
      </c>
      <c r="AW35" s="251">
        <f t="shared" si="75"/>
        <v>3.8999999999999998E-3</v>
      </c>
      <c r="AX35" s="251">
        <f t="shared" si="76"/>
        <v>1.03E-2</v>
      </c>
      <c r="AY35" s="251">
        <f t="shared" si="77"/>
        <v>1.9699999999999999E-2</v>
      </c>
      <c r="AZ35" s="255">
        <f t="shared" si="77"/>
        <v>3.7000000000000002E-3</v>
      </c>
      <c r="BB35" s="252">
        <v>2042</v>
      </c>
      <c r="BC35" s="251">
        <f t="shared" si="101"/>
        <v>0.16819999999999999</v>
      </c>
      <c r="BD35" s="251">
        <f t="shared" si="78"/>
        <v>1074.3117</v>
      </c>
      <c r="BE35" s="251">
        <f t="shared" si="79"/>
        <v>0.28949999999999998</v>
      </c>
      <c r="BF35" s="251">
        <f t="shared" si="80"/>
        <v>4.0000000000000001E-3</v>
      </c>
      <c r="BG35" s="251">
        <f t="shared" si="81"/>
        <v>1.03E-2</v>
      </c>
      <c r="BH35" s="251">
        <f t="shared" si="82"/>
        <v>1.9599999999999999E-2</v>
      </c>
      <c r="BI35" s="255">
        <f t="shared" si="82"/>
        <v>3.8E-3</v>
      </c>
      <c r="BK35" s="252">
        <v>2042</v>
      </c>
      <c r="BL35" s="251">
        <f t="shared" si="102"/>
        <v>0.1721</v>
      </c>
      <c r="BM35" s="251">
        <f t="shared" si="83"/>
        <v>1138.0163</v>
      </c>
      <c r="BN35" s="251">
        <f t="shared" si="84"/>
        <v>0.31830000000000003</v>
      </c>
      <c r="BO35" s="251">
        <f t="shared" si="85"/>
        <v>4.3E-3</v>
      </c>
      <c r="BP35" s="251">
        <f t="shared" si="86"/>
        <v>1.09E-2</v>
      </c>
      <c r="BQ35" s="251">
        <f t="shared" si="87"/>
        <v>2.1999999999999999E-2</v>
      </c>
      <c r="BR35" s="255">
        <f t="shared" si="87"/>
        <v>4.1000000000000003E-3</v>
      </c>
      <c r="BT35" s="252">
        <v>2042</v>
      </c>
      <c r="BU35" s="251">
        <f t="shared" si="103"/>
        <v>0.17019999999999999</v>
      </c>
      <c r="BV35" s="251">
        <f t="shared" si="88"/>
        <v>1155.1352999999999</v>
      </c>
      <c r="BW35" s="251">
        <f t="shared" si="89"/>
        <v>0.3231</v>
      </c>
      <c r="BX35" s="251">
        <f t="shared" si="90"/>
        <v>4.3E-3</v>
      </c>
      <c r="BY35" s="251">
        <f t="shared" si="91"/>
        <v>1.0999999999999999E-2</v>
      </c>
      <c r="BZ35" s="251">
        <f t="shared" si="92"/>
        <v>2.24E-2</v>
      </c>
      <c r="CA35" s="255">
        <f t="shared" si="92"/>
        <v>4.1000000000000003E-3</v>
      </c>
    </row>
    <row r="36" spans="2:79" x14ac:dyDescent="0.25">
      <c r="B36" s="235"/>
      <c r="C36" s="247"/>
      <c r="D36" s="247">
        <v>31</v>
      </c>
      <c r="E36" s="391">
        <v>1.5049999999999999</v>
      </c>
      <c r="F36" s="392">
        <v>1199.2166</v>
      </c>
      <c r="G36" s="389">
        <v>4.2630999999999997</v>
      </c>
      <c r="H36" s="389">
        <v>5.2600000000000001E-2</v>
      </c>
      <c r="I36" s="389">
        <v>1.14E-2</v>
      </c>
      <c r="J36" s="393">
        <v>0.21279999999999999</v>
      </c>
      <c r="K36" s="390">
        <v>5.0299999999999997E-2</v>
      </c>
      <c r="L36" s="238"/>
      <c r="M36" s="231"/>
      <c r="N36" s="235"/>
      <c r="O36" s="248"/>
      <c r="P36" s="247">
        <v>31</v>
      </c>
      <c r="Q36" s="408">
        <v>0.67149999999999999</v>
      </c>
      <c r="R36" s="409">
        <v>1233.4296999999999</v>
      </c>
      <c r="S36" s="406">
        <v>1.0586</v>
      </c>
      <c r="T36" s="406">
        <v>5.4999999999999997E-3</v>
      </c>
      <c r="U36" s="406">
        <v>1.1599999999999999E-2</v>
      </c>
      <c r="V36" s="410">
        <v>7.9600000000000004E-2</v>
      </c>
      <c r="W36" s="407">
        <v>5.3E-3</v>
      </c>
      <c r="X36" s="238"/>
      <c r="AA36" s="252">
        <v>2043</v>
      </c>
      <c r="AB36" s="251">
        <f t="shared" si="93"/>
        <v>0.25729999999999997</v>
      </c>
      <c r="AC36" s="251">
        <f t="shared" si="94"/>
        <v>1134.5664999999999</v>
      </c>
      <c r="AD36" s="251">
        <f>AD35</f>
        <v>0.40820000000000001</v>
      </c>
      <c r="AE36" s="251">
        <f t="shared" si="96"/>
        <v>4.4000000000000003E-3</v>
      </c>
      <c r="AF36" s="251">
        <f t="shared" si="97"/>
        <v>1.0800000000000001E-2</v>
      </c>
      <c r="AG36" s="251">
        <f t="shared" si="98"/>
        <v>2.8799999999999999E-2</v>
      </c>
      <c r="AH36" s="255">
        <f t="shared" si="98"/>
        <v>4.1999999999999997E-3</v>
      </c>
      <c r="AJ36" s="252">
        <v>2043</v>
      </c>
      <c r="AK36" s="251">
        <f t="shared" si="99"/>
        <v>0.2288</v>
      </c>
      <c r="AL36" s="251">
        <f t="shared" si="68"/>
        <v>1140.6396</v>
      </c>
      <c r="AM36" s="251">
        <f t="shared" si="69"/>
        <v>0.36480000000000001</v>
      </c>
      <c r="AN36" s="251">
        <f t="shared" si="70"/>
        <v>4.1999999999999997E-3</v>
      </c>
      <c r="AO36" s="251">
        <f t="shared" si="71"/>
        <v>1.09E-2</v>
      </c>
      <c r="AP36" s="251">
        <f t="shared" si="72"/>
        <v>2.5000000000000001E-2</v>
      </c>
      <c r="AQ36" s="255">
        <f t="shared" si="72"/>
        <v>4.0000000000000001E-3</v>
      </c>
      <c r="AS36" s="252">
        <v>2043</v>
      </c>
      <c r="AT36" s="251">
        <f t="shared" si="100"/>
        <v>0.17330000000000001</v>
      </c>
      <c r="AU36" s="251">
        <f t="shared" si="73"/>
        <v>1081.3968</v>
      </c>
      <c r="AV36" s="251">
        <f t="shared" si="74"/>
        <v>0.29389999999999999</v>
      </c>
      <c r="AW36" s="251">
        <f t="shared" si="75"/>
        <v>3.8999999999999998E-3</v>
      </c>
      <c r="AX36" s="251">
        <f t="shared" si="76"/>
        <v>1.03E-2</v>
      </c>
      <c r="AY36" s="251">
        <f t="shared" si="77"/>
        <v>1.9699999999999999E-2</v>
      </c>
      <c r="AZ36" s="255">
        <f t="shared" si="77"/>
        <v>3.7000000000000002E-3</v>
      </c>
      <c r="BB36" s="252">
        <v>2043</v>
      </c>
      <c r="BC36" s="251">
        <f t="shared" si="101"/>
        <v>0.16819999999999999</v>
      </c>
      <c r="BD36" s="251">
        <f t="shared" si="78"/>
        <v>1074.3117</v>
      </c>
      <c r="BE36" s="251">
        <f t="shared" si="79"/>
        <v>0.28949999999999998</v>
      </c>
      <c r="BF36" s="251">
        <f t="shared" si="80"/>
        <v>4.0000000000000001E-3</v>
      </c>
      <c r="BG36" s="251">
        <f t="shared" si="81"/>
        <v>1.03E-2</v>
      </c>
      <c r="BH36" s="251">
        <f t="shared" si="82"/>
        <v>1.9599999999999999E-2</v>
      </c>
      <c r="BI36" s="255">
        <f t="shared" si="82"/>
        <v>3.8E-3</v>
      </c>
      <c r="BK36" s="252">
        <v>2043</v>
      </c>
      <c r="BL36" s="251">
        <f t="shared" si="102"/>
        <v>0.1721</v>
      </c>
      <c r="BM36" s="251">
        <f t="shared" si="83"/>
        <v>1138.0163</v>
      </c>
      <c r="BN36" s="251">
        <f t="shared" si="84"/>
        <v>0.31830000000000003</v>
      </c>
      <c r="BO36" s="251">
        <f t="shared" si="85"/>
        <v>4.3E-3</v>
      </c>
      <c r="BP36" s="251">
        <f t="shared" si="86"/>
        <v>1.09E-2</v>
      </c>
      <c r="BQ36" s="251">
        <f t="shared" si="87"/>
        <v>2.1999999999999999E-2</v>
      </c>
      <c r="BR36" s="255">
        <f t="shared" si="87"/>
        <v>4.1000000000000003E-3</v>
      </c>
      <c r="BT36" s="252">
        <v>2043</v>
      </c>
      <c r="BU36" s="251">
        <f t="shared" si="103"/>
        <v>0.17019999999999999</v>
      </c>
      <c r="BV36" s="251">
        <f t="shared" si="88"/>
        <v>1155.1352999999999</v>
      </c>
      <c r="BW36" s="251">
        <f t="shared" si="89"/>
        <v>0.3231</v>
      </c>
      <c r="BX36" s="251">
        <f t="shared" si="90"/>
        <v>4.3E-3</v>
      </c>
      <c r="BY36" s="251">
        <f t="shared" si="91"/>
        <v>1.0999999999999999E-2</v>
      </c>
      <c r="BZ36" s="251">
        <f t="shared" si="92"/>
        <v>2.24E-2</v>
      </c>
      <c r="CA36" s="255">
        <f t="shared" si="92"/>
        <v>4.1000000000000003E-3</v>
      </c>
    </row>
    <row r="37" spans="2:79" x14ac:dyDescent="0.25">
      <c r="B37" s="235"/>
      <c r="C37" s="247"/>
      <c r="D37" s="247">
        <v>32</v>
      </c>
      <c r="E37" s="391">
        <v>1.4634</v>
      </c>
      <c r="F37" s="392">
        <v>1233.2070000000001</v>
      </c>
      <c r="G37" s="389">
        <v>4.3651</v>
      </c>
      <c r="H37" s="389">
        <v>5.3699999999999998E-2</v>
      </c>
      <c r="I37" s="389">
        <v>1.17E-2</v>
      </c>
      <c r="J37" s="393">
        <v>0.20949999999999999</v>
      </c>
      <c r="K37" s="390">
        <v>5.1299999999999998E-2</v>
      </c>
      <c r="L37" s="238"/>
      <c r="M37" s="231"/>
      <c r="N37" s="235"/>
      <c r="O37" s="248"/>
      <c r="P37" s="247">
        <v>32</v>
      </c>
      <c r="Q37" s="408">
        <v>0.66359999999999997</v>
      </c>
      <c r="R37" s="409">
        <v>1249.5409999999999</v>
      </c>
      <c r="S37" s="406">
        <v>1.0152000000000001</v>
      </c>
      <c r="T37" s="406">
        <v>5.4000000000000003E-3</v>
      </c>
      <c r="U37" s="406">
        <v>1.17E-2</v>
      </c>
      <c r="V37" s="410">
        <v>7.6899999999999996E-2</v>
      </c>
      <c r="W37" s="407">
        <v>5.1999999999999998E-3</v>
      </c>
      <c r="X37" s="238"/>
      <c r="AA37" s="252">
        <v>2044</v>
      </c>
      <c r="AB37" s="251">
        <f t="shared" si="93"/>
        <v>0.25729999999999997</v>
      </c>
      <c r="AC37" s="251">
        <f t="shared" si="94"/>
        <v>1134.5664999999999</v>
      </c>
      <c r="AD37" s="251">
        <f t="shared" si="95"/>
        <v>0.40820000000000001</v>
      </c>
      <c r="AE37" s="251">
        <f t="shared" si="96"/>
        <v>4.4000000000000003E-3</v>
      </c>
      <c r="AF37" s="251">
        <f t="shared" si="97"/>
        <v>1.0800000000000001E-2</v>
      </c>
      <c r="AG37" s="251">
        <f t="shared" si="98"/>
        <v>2.8799999999999999E-2</v>
      </c>
      <c r="AH37" s="255">
        <f t="shared" si="98"/>
        <v>4.1999999999999997E-3</v>
      </c>
      <c r="AJ37" s="252">
        <v>2044</v>
      </c>
      <c r="AK37" s="251">
        <f t="shared" si="99"/>
        <v>0.2288</v>
      </c>
      <c r="AL37" s="251">
        <f t="shared" si="68"/>
        <v>1140.6396</v>
      </c>
      <c r="AM37" s="251">
        <f t="shared" si="69"/>
        <v>0.36480000000000001</v>
      </c>
      <c r="AN37" s="251">
        <f t="shared" si="70"/>
        <v>4.1999999999999997E-3</v>
      </c>
      <c r="AO37" s="251">
        <f t="shared" si="71"/>
        <v>1.09E-2</v>
      </c>
      <c r="AP37" s="251">
        <f t="shared" si="72"/>
        <v>2.5000000000000001E-2</v>
      </c>
      <c r="AQ37" s="255">
        <f t="shared" si="72"/>
        <v>4.0000000000000001E-3</v>
      </c>
      <c r="AS37" s="252">
        <v>2044</v>
      </c>
      <c r="AT37" s="251">
        <f t="shared" si="100"/>
        <v>0.17330000000000001</v>
      </c>
      <c r="AU37" s="251">
        <f t="shared" si="73"/>
        <v>1081.3968</v>
      </c>
      <c r="AV37" s="251">
        <f t="shared" si="74"/>
        <v>0.29389999999999999</v>
      </c>
      <c r="AW37" s="251">
        <f t="shared" si="75"/>
        <v>3.8999999999999998E-3</v>
      </c>
      <c r="AX37" s="251">
        <f t="shared" si="76"/>
        <v>1.03E-2</v>
      </c>
      <c r="AY37" s="251">
        <f t="shared" si="77"/>
        <v>1.9699999999999999E-2</v>
      </c>
      <c r="AZ37" s="255">
        <f t="shared" si="77"/>
        <v>3.7000000000000002E-3</v>
      </c>
      <c r="BB37" s="252">
        <v>2044</v>
      </c>
      <c r="BC37" s="251">
        <f t="shared" si="101"/>
        <v>0.16819999999999999</v>
      </c>
      <c r="BD37" s="251">
        <f t="shared" si="78"/>
        <v>1074.3117</v>
      </c>
      <c r="BE37" s="251">
        <f t="shared" si="79"/>
        <v>0.28949999999999998</v>
      </c>
      <c r="BF37" s="251">
        <f t="shared" si="80"/>
        <v>4.0000000000000001E-3</v>
      </c>
      <c r="BG37" s="251">
        <f t="shared" si="81"/>
        <v>1.03E-2</v>
      </c>
      <c r="BH37" s="251">
        <f t="shared" si="82"/>
        <v>1.9599999999999999E-2</v>
      </c>
      <c r="BI37" s="255">
        <f t="shared" si="82"/>
        <v>3.8E-3</v>
      </c>
      <c r="BK37" s="252">
        <v>2044</v>
      </c>
      <c r="BL37" s="251">
        <f t="shared" si="102"/>
        <v>0.1721</v>
      </c>
      <c r="BM37" s="251">
        <f t="shared" si="83"/>
        <v>1138.0163</v>
      </c>
      <c r="BN37" s="251">
        <f t="shared" si="84"/>
        <v>0.31830000000000003</v>
      </c>
      <c r="BO37" s="251">
        <f t="shared" si="85"/>
        <v>4.3E-3</v>
      </c>
      <c r="BP37" s="251">
        <f t="shared" si="86"/>
        <v>1.09E-2</v>
      </c>
      <c r="BQ37" s="251">
        <f t="shared" si="87"/>
        <v>2.1999999999999999E-2</v>
      </c>
      <c r="BR37" s="255">
        <f t="shared" si="87"/>
        <v>4.1000000000000003E-3</v>
      </c>
      <c r="BT37" s="252">
        <v>2044</v>
      </c>
      <c r="BU37" s="251">
        <f t="shared" si="103"/>
        <v>0.17019999999999999</v>
      </c>
      <c r="BV37" s="251">
        <f t="shared" si="88"/>
        <v>1155.1352999999999</v>
      </c>
      <c r="BW37" s="251">
        <f t="shared" si="89"/>
        <v>0.3231</v>
      </c>
      <c r="BX37" s="251">
        <f t="shared" si="90"/>
        <v>4.3E-3</v>
      </c>
      <c r="BY37" s="251">
        <f t="shared" si="91"/>
        <v>1.0999999999999999E-2</v>
      </c>
      <c r="BZ37" s="251">
        <f t="shared" si="92"/>
        <v>2.24E-2</v>
      </c>
      <c r="CA37" s="255">
        <f t="shared" si="92"/>
        <v>4.1000000000000003E-3</v>
      </c>
    </row>
    <row r="38" spans="2:79" x14ac:dyDescent="0.25">
      <c r="B38" s="235"/>
      <c r="C38" s="247"/>
      <c r="D38" s="247">
        <v>33</v>
      </c>
      <c r="E38" s="391">
        <v>1.4218999999999999</v>
      </c>
      <c r="F38" s="392">
        <v>1267.1975</v>
      </c>
      <c r="G38" s="389">
        <v>4.4671000000000003</v>
      </c>
      <c r="H38" s="389">
        <v>5.4699999999999999E-2</v>
      </c>
      <c r="I38" s="389">
        <v>1.2E-2</v>
      </c>
      <c r="J38" s="393">
        <v>0.20610000000000001</v>
      </c>
      <c r="K38" s="390">
        <v>5.2400000000000002E-2</v>
      </c>
      <c r="L38" s="238"/>
      <c r="M38" s="231"/>
      <c r="N38" s="235"/>
      <c r="O38" s="248"/>
      <c r="P38" s="247">
        <v>33</v>
      </c>
      <c r="Q38" s="408">
        <v>0.65559999999999996</v>
      </c>
      <c r="R38" s="409">
        <v>1265.6523</v>
      </c>
      <c r="S38" s="406">
        <v>0.97189999999999999</v>
      </c>
      <c r="T38" s="406">
        <v>5.4000000000000003E-3</v>
      </c>
      <c r="U38" s="406">
        <v>1.18E-2</v>
      </c>
      <c r="V38" s="410">
        <v>7.4200000000000002E-2</v>
      </c>
      <c r="W38" s="407">
        <v>5.1000000000000004E-3</v>
      </c>
      <c r="X38" s="238"/>
      <c r="AA38" s="252">
        <v>2045</v>
      </c>
      <c r="AB38" s="251">
        <f t="shared" si="93"/>
        <v>0.25729999999999997</v>
      </c>
      <c r="AC38" s="251">
        <f t="shared" si="94"/>
        <v>1134.5664999999999</v>
      </c>
      <c r="AD38" s="251">
        <f t="shared" si="95"/>
        <v>0.40820000000000001</v>
      </c>
      <c r="AE38" s="251">
        <f t="shared" si="96"/>
        <v>4.4000000000000003E-3</v>
      </c>
      <c r="AF38" s="251">
        <f t="shared" si="97"/>
        <v>1.0800000000000001E-2</v>
      </c>
      <c r="AG38" s="251">
        <f t="shared" si="98"/>
        <v>2.8799999999999999E-2</v>
      </c>
      <c r="AH38" s="255">
        <f t="shared" si="98"/>
        <v>4.1999999999999997E-3</v>
      </c>
      <c r="AJ38" s="252">
        <v>2045</v>
      </c>
      <c r="AK38" s="251">
        <f t="shared" si="99"/>
        <v>0.2288</v>
      </c>
      <c r="AL38" s="251">
        <f t="shared" si="68"/>
        <v>1140.6396</v>
      </c>
      <c r="AM38" s="251">
        <f t="shared" si="69"/>
        <v>0.36480000000000001</v>
      </c>
      <c r="AN38" s="251">
        <f t="shared" si="70"/>
        <v>4.1999999999999997E-3</v>
      </c>
      <c r="AO38" s="251">
        <f t="shared" si="71"/>
        <v>1.09E-2</v>
      </c>
      <c r="AP38" s="251">
        <f t="shared" si="72"/>
        <v>2.5000000000000001E-2</v>
      </c>
      <c r="AQ38" s="255">
        <f t="shared" si="72"/>
        <v>4.0000000000000001E-3</v>
      </c>
      <c r="AS38" s="252">
        <v>2045</v>
      </c>
      <c r="AT38" s="251">
        <f t="shared" si="100"/>
        <v>0.17330000000000001</v>
      </c>
      <c r="AU38" s="251">
        <f t="shared" si="73"/>
        <v>1081.3968</v>
      </c>
      <c r="AV38" s="251">
        <f t="shared" si="74"/>
        <v>0.29389999999999999</v>
      </c>
      <c r="AW38" s="251">
        <f t="shared" si="75"/>
        <v>3.8999999999999998E-3</v>
      </c>
      <c r="AX38" s="251">
        <f t="shared" si="76"/>
        <v>1.03E-2</v>
      </c>
      <c r="AY38" s="251">
        <f t="shared" si="77"/>
        <v>1.9699999999999999E-2</v>
      </c>
      <c r="AZ38" s="255">
        <f t="shared" si="77"/>
        <v>3.7000000000000002E-3</v>
      </c>
      <c r="BB38" s="252">
        <v>2045</v>
      </c>
      <c r="BC38" s="251">
        <f t="shared" si="101"/>
        <v>0.16819999999999999</v>
      </c>
      <c r="BD38" s="251">
        <f t="shared" si="78"/>
        <v>1074.3117</v>
      </c>
      <c r="BE38" s="251">
        <f t="shared" si="79"/>
        <v>0.28949999999999998</v>
      </c>
      <c r="BF38" s="251">
        <f t="shared" si="80"/>
        <v>4.0000000000000001E-3</v>
      </c>
      <c r="BG38" s="251">
        <f t="shared" si="81"/>
        <v>1.03E-2</v>
      </c>
      <c r="BH38" s="251">
        <f t="shared" si="82"/>
        <v>1.9599999999999999E-2</v>
      </c>
      <c r="BI38" s="255">
        <f t="shared" si="82"/>
        <v>3.8E-3</v>
      </c>
      <c r="BK38" s="252">
        <v>2045</v>
      </c>
      <c r="BL38" s="251">
        <f t="shared" si="102"/>
        <v>0.1721</v>
      </c>
      <c r="BM38" s="251">
        <f t="shared" si="83"/>
        <v>1138.0163</v>
      </c>
      <c r="BN38" s="251">
        <f t="shared" si="84"/>
        <v>0.31830000000000003</v>
      </c>
      <c r="BO38" s="251">
        <f t="shared" si="85"/>
        <v>4.3E-3</v>
      </c>
      <c r="BP38" s="251">
        <f t="shared" si="86"/>
        <v>1.09E-2</v>
      </c>
      <c r="BQ38" s="251">
        <f t="shared" si="87"/>
        <v>2.1999999999999999E-2</v>
      </c>
      <c r="BR38" s="255">
        <f t="shared" si="87"/>
        <v>4.1000000000000003E-3</v>
      </c>
      <c r="BT38" s="252">
        <v>2045</v>
      </c>
      <c r="BU38" s="251">
        <f t="shared" si="103"/>
        <v>0.17019999999999999</v>
      </c>
      <c r="BV38" s="251">
        <f t="shared" si="88"/>
        <v>1155.1352999999999</v>
      </c>
      <c r="BW38" s="251">
        <f t="shared" si="89"/>
        <v>0.3231</v>
      </c>
      <c r="BX38" s="251">
        <f t="shared" si="90"/>
        <v>4.3E-3</v>
      </c>
      <c r="BY38" s="251">
        <f t="shared" si="91"/>
        <v>1.0999999999999999E-2</v>
      </c>
      <c r="BZ38" s="251">
        <f t="shared" si="92"/>
        <v>2.24E-2</v>
      </c>
      <c r="CA38" s="255">
        <f t="shared" si="92"/>
        <v>4.1000000000000003E-3</v>
      </c>
    </row>
    <row r="39" spans="2:79" x14ac:dyDescent="0.25">
      <c r="B39" s="235"/>
      <c r="C39" s="247"/>
      <c r="D39" s="247">
        <v>34</v>
      </c>
      <c r="E39" s="391">
        <v>1.3803000000000001</v>
      </c>
      <c r="F39" s="392">
        <v>1301.1878999999999</v>
      </c>
      <c r="G39" s="389">
        <v>4.5690999999999997</v>
      </c>
      <c r="H39" s="389">
        <v>5.5800000000000002E-2</v>
      </c>
      <c r="I39" s="389">
        <v>1.23E-2</v>
      </c>
      <c r="J39" s="393">
        <v>0.20280000000000001</v>
      </c>
      <c r="K39" s="390">
        <v>5.3400000000000003E-2</v>
      </c>
      <c r="L39" s="238"/>
      <c r="M39" s="231"/>
      <c r="N39" s="235"/>
      <c r="O39" s="248"/>
      <c r="P39" s="247">
        <v>34</v>
      </c>
      <c r="Q39" s="408">
        <v>0.64770000000000005</v>
      </c>
      <c r="R39" s="409">
        <v>1281.7636</v>
      </c>
      <c r="S39" s="406">
        <v>0.92849999999999999</v>
      </c>
      <c r="T39" s="406">
        <v>5.3E-3</v>
      </c>
      <c r="U39" s="406">
        <v>1.1900000000000001E-2</v>
      </c>
      <c r="V39" s="410">
        <v>7.1499999999999994E-2</v>
      </c>
      <c r="W39" s="407">
        <v>5.0000000000000001E-3</v>
      </c>
      <c r="X39" s="238"/>
      <c r="AA39" s="252">
        <v>2046</v>
      </c>
      <c r="AB39" s="251">
        <f t="shared" si="93"/>
        <v>0.25729999999999997</v>
      </c>
      <c r="AC39" s="251">
        <f t="shared" si="94"/>
        <v>1134.5664999999999</v>
      </c>
      <c r="AD39" s="251">
        <f t="shared" si="95"/>
        <v>0.40820000000000001</v>
      </c>
      <c r="AE39" s="251">
        <f t="shared" si="96"/>
        <v>4.4000000000000003E-3</v>
      </c>
      <c r="AF39" s="251">
        <f t="shared" si="97"/>
        <v>1.0800000000000001E-2</v>
      </c>
      <c r="AG39" s="251">
        <f t="shared" si="98"/>
        <v>2.8799999999999999E-2</v>
      </c>
      <c r="AH39" s="255">
        <f t="shared" si="98"/>
        <v>4.1999999999999997E-3</v>
      </c>
      <c r="AJ39" s="252">
        <v>2046</v>
      </c>
      <c r="AK39" s="251">
        <f t="shared" si="99"/>
        <v>0.2288</v>
      </c>
      <c r="AL39" s="251">
        <f t="shared" si="68"/>
        <v>1140.6396</v>
      </c>
      <c r="AM39" s="251">
        <f t="shared" si="69"/>
        <v>0.36480000000000001</v>
      </c>
      <c r="AN39" s="251">
        <f t="shared" si="70"/>
        <v>4.1999999999999997E-3</v>
      </c>
      <c r="AO39" s="251">
        <f t="shared" si="71"/>
        <v>1.09E-2</v>
      </c>
      <c r="AP39" s="251">
        <f t="shared" si="72"/>
        <v>2.5000000000000001E-2</v>
      </c>
      <c r="AQ39" s="255">
        <f t="shared" si="72"/>
        <v>4.0000000000000001E-3</v>
      </c>
      <c r="AS39" s="252">
        <v>2046</v>
      </c>
      <c r="AT39" s="251">
        <f t="shared" si="100"/>
        <v>0.17330000000000001</v>
      </c>
      <c r="AU39" s="251">
        <f t="shared" si="73"/>
        <v>1081.3968</v>
      </c>
      <c r="AV39" s="251">
        <f t="shared" si="74"/>
        <v>0.29389999999999999</v>
      </c>
      <c r="AW39" s="251">
        <f t="shared" si="75"/>
        <v>3.8999999999999998E-3</v>
      </c>
      <c r="AX39" s="251">
        <f t="shared" si="76"/>
        <v>1.03E-2</v>
      </c>
      <c r="AY39" s="251">
        <f t="shared" si="77"/>
        <v>1.9699999999999999E-2</v>
      </c>
      <c r="AZ39" s="255">
        <f t="shared" si="77"/>
        <v>3.7000000000000002E-3</v>
      </c>
      <c r="BB39" s="252">
        <v>2046</v>
      </c>
      <c r="BC39" s="251">
        <f t="shared" si="101"/>
        <v>0.16819999999999999</v>
      </c>
      <c r="BD39" s="251">
        <f t="shared" si="78"/>
        <v>1074.3117</v>
      </c>
      <c r="BE39" s="251">
        <f t="shared" si="79"/>
        <v>0.28949999999999998</v>
      </c>
      <c r="BF39" s="251">
        <f t="shared" si="80"/>
        <v>4.0000000000000001E-3</v>
      </c>
      <c r="BG39" s="251">
        <f t="shared" si="81"/>
        <v>1.03E-2</v>
      </c>
      <c r="BH39" s="251">
        <f t="shared" si="82"/>
        <v>1.9599999999999999E-2</v>
      </c>
      <c r="BI39" s="255">
        <f t="shared" si="82"/>
        <v>3.8E-3</v>
      </c>
      <c r="BK39" s="252">
        <v>2046</v>
      </c>
      <c r="BL39" s="251">
        <f t="shared" si="102"/>
        <v>0.1721</v>
      </c>
      <c r="BM39" s="251">
        <f t="shared" si="83"/>
        <v>1138.0163</v>
      </c>
      <c r="BN39" s="251">
        <f t="shared" si="84"/>
        <v>0.31830000000000003</v>
      </c>
      <c r="BO39" s="251">
        <f t="shared" si="85"/>
        <v>4.3E-3</v>
      </c>
      <c r="BP39" s="251">
        <f t="shared" si="86"/>
        <v>1.09E-2</v>
      </c>
      <c r="BQ39" s="251">
        <f t="shared" si="87"/>
        <v>2.1999999999999999E-2</v>
      </c>
      <c r="BR39" s="255">
        <f t="shared" si="87"/>
        <v>4.1000000000000003E-3</v>
      </c>
      <c r="BT39" s="252">
        <v>2046</v>
      </c>
      <c r="BU39" s="251">
        <f t="shared" si="103"/>
        <v>0.17019999999999999</v>
      </c>
      <c r="BV39" s="251">
        <f t="shared" si="88"/>
        <v>1155.1352999999999</v>
      </c>
      <c r="BW39" s="251">
        <f t="shared" si="89"/>
        <v>0.3231</v>
      </c>
      <c r="BX39" s="251">
        <f t="shared" si="90"/>
        <v>4.3E-3</v>
      </c>
      <c r="BY39" s="251">
        <f t="shared" si="91"/>
        <v>1.0999999999999999E-2</v>
      </c>
      <c r="BZ39" s="251">
        <f t="shared" si="92"/>
        <v>2.24E-2</v>
      </c>
      <c r="CA39" s="255">
        <f t="shared" si="92"/>
        <v>4.1000000000000003E-3</v>
      </c>
    </row>
    <row r="40" spans="2:79" x14ac:dyDescent="0.25">
      <c r="B40" s="235"/>
      <c r="C40" s="247"/>
      <c r="D40" s="247">
        <v>35</v>
      </c>
      <c r="E40" s="391">
        <v>1.3387</v>
      </c>
      <c r="F40" s="392">
        <v>1335.1784</v>
      </c>
      <c r="G40" s="389">
        <v>4.6711</v>
      </c>
      <c r="H40" s="389">
        <v>5.6800000000000003E-2</v>
      </c>
      <c r="I40" s="389">
        <v>1.26E-2</v>
      </c>
      <c r="J40" s="393">
        <v>0.19939999999999999</v>
      </c>
      <c r="K40" s="390">
        <v>5.4399999999999997E-2</v>
      </c>
      <c r="L40" s="238"/>
      <c r="M40" s="231"/>
      <c r="N40" s="235"/>
      <c r="O40" s="248"/>
      <c r="P40" s="247">
        <v>35</v>
      </c>
      <c r="Q40" s="408">
        <v>0.63980000000000004</v>
      </c>
      <c r="R40" s="409">
        <v>1297.8749</v>
      </c>
      <c r="S40" s="406">
        <v>0.8851</v>
      </c>
      <c r="T40" s="406">
        <v>5.1999999999999998E-3</v>
      </c>
      <c r="U40" s="406">
        <v>1.2E-2</v>
      </c>
      <c r="V40" s="410">
        <v>6.88E-2</v>
      </c>
      <c r="W40" s="407">
        <v>4.8999999999999998E-3</v>
      </c>
      <c r="X40" s="238"/>
      <c r="AA40" s="252">
        <v>2047</v>
      </c>
      <c r="AB40" s="251">
        <f t="shared" si="93"/>
        <v>0.25729999999999997</v>
      </c>
      <c r="AC40" s="251">
        <f t="shared" si="94"/>
        <v>1134.5664999999999</v>
      </c>
      <c r="AD40" s="251">
        <f t="shared" si="95"/>
        <v>0.40820000000000001</v>
      </c>
      <c r="AE40" s="251">
        <f t="shared" si="96"/>
        <v>4.4000000000000003E-3</v>
      </c>
      <c r="AF40" s="251">
        <f t="shared" si="97"/>
        <v>1.0800000000000001E-2</v>
      </c>
      <c r="AG40" s="251">
        <f t="shared" si="98"/>
        <v>2.8799999999999999E-2</v>
      </c>
      <c r="AH40" s="255">
        <f t="shared" si="98"/>
        <v>4.1999999999999997E-3</v>
      </c>
      <c r="AJ40" s="252">
        <v>2047</v>
      </c>
      <c r="AK40" s="251">
        <f t="shared" si="99"/>
        <v>0.2288</v>
      </c>
      <c r="AL40" s="251">
        <f t="shared" si="68"/>
        <v>1140.6396</v>
      </c>
      <c r="AM40" s="251">
        <f t="shared" si="69"/>
        <v>0.36480000000000001</v>
      </c>
      <c r="AN40" s="251">
        <f t="shared" si="70"/>
        <v>4.1999999999999997E-3</v>
      </c>
      <c r="AO40" s="251">
        <f t="shared" si="71"/>
        <v>1.09E-2</v>
      </c>
      <c r="AP40" s="251">
        <f t="shared" si="72"/>
        <v>2.5000000000000001E-2</v>
      </c>
      <c r="AQ40" s="255">
        <f t="shared" si="72"/>
        <v>4.0000000000000001E-3</v>
      </c>
      <c r="AS40" s="252">
        <v>2047</v>
      </c>
      <c r="AT40" s="251">
        <f t="shared" si="100"/>
        <v>0.17330000000000001</v>
      </c>
      <c r="AU40" s="251">
        <f t="shared" si="73"/>
        <v>1081.3968</v>
      </c>
      <c r="AV40" s="251">
        <f t="shared" si="74"/>
        <v>0.29389999999999999</v>
      </c>
      <c r="AW40" s="251">
        <f t="shared" si="75"/>
        <v>3.8999999999999998E-3</v>
      </c>
      <c r="AX40" s="251">
        <f t="shared" si="76"/>
        <v>1.03E-2</v>
      </c>
      <c r="AY40" s="251">
        <f t="shared" si="77"/>
        <v>1.9699999999999999E-2</v>
      </c>
      <c r="AZ40" s="255">
        <f t="shared" si="77"/>
        <v>3.7000000000000002E-3</v>
      </c>
      <c r="BB40" s="252">
        <v>2047</v>
      </c>
      <c r="BC40" s="251">
        <f t="shared" si="101"/>
        <v>0.16819999999999999</v>
      </c>
      <c r="BD40" s="251">
        <f t="shared" si="78"/>
        <v>1074.3117</v>
      </c>
      <c r="BE40" s="251">
        <f t="shared" si="79"/>
        <v>0.28949999999999998</v>
      </c>
      <c r="BF40" s="251">
        <f t="shared" si="80"/>
        <v>4.0000000000000001E-3</v>
      </c>
      <c r="BG40" s="251">
        <f t="shared" si="81"/>
        <v>1.03E-2</v>
      </c>
      <c r="BH40" s="251">
        <f t="shared" si="82"/>
        <v>1.9599999999999999E-2</v>
      </c>
      <c r="BI40" s="255">
        <f t="shared" si="82"/>
        <v>3.8E-3</v>
      </c>
      <c r="BK40" s="252">
        <v>2047</v>
      </c>
      <c r="BL40" s="251">
        <f t="shared" si="102"/>
        <v>0.1721</v>
      </c>
      <c r="BM40" s="251">
        <f t="shared" si="83"/>
        <v>1138.0163</v>
      </c>
      <c r="BN40" s="251">
        <f t="shared" si="84"/>
        <v>0.31830000000000003</v>
      </c>
      <c r="BO40" s="251">
        <f t="shared" si="85"/>
        <v>4.3E-3</v>
      </c>
      <c r="BP40" s="251">
        <f t="shared" si="86"/>
        <v>1.09E-2</v>
      </c>
      <c r="BQ40" s="251">
        <f t="shared" si="87"/>
        <v>2.1999999999999999E-2</v>
      </c>
      <c r="BR40" s="255">
        <f t="shared" si="87"/>
        <v>4.1000000000000003E-3</v>
      </c>
      <c r="BT40" s="252">
        <v>2047</v>
      </c>
      <c r="BU40" s="251">
        <f t="shared" si="103"/>
        <v>0.17019999999999999</v>
      </c>
      <c r="BV40" s="251">
        <f t="shared" si="88"/>
        <v>1155.1352999999999</v>
      </c>
      <c r="BW40" s="251">
        <f t="shared" si="89"/>
        <v>0.3231</v>
      </c>
      <c r="BX40" s="251">
        <f t="shared" si="90"/>
        <v>4.3E-3</v>
      </c>
      <c r="BY40" s="251">
        <f t="shared" si="91"/>
        <v>1.0999999999999999E-2</v>
      </c>
      <c r="BZ40" s="251">
        <f t="shared" si="92"/>
        <v>2.24E-2</v>
      </c>
      <c r="CA40" s="255">
        <f t="shared" si="92"/>
        <v>4.1000000000000003E-3</v>
      </c>
    </row>
    <row r="41" spans="2:79" x14ac:dyDescent="0.25">
      <c r="B41" s="235"/>
      <c r="C41" s="247"/>
      <c r="D41" s="247">
        <v>36</v>
      </c>
      <c r="E41" s="391">
        <v>1.3027</v>
      </c>
      <c r="F41" s="392">
        <v>1331.1733999999999</v>
      </c>
      <c r="G41" s="389">
        <v>4.6417999999999999</v>
      </c>
      <c r="H41" s="389">
        <v>5.7500000000000002E-2</v>
      </c>
      <c r="I41" s="389">
        <v>1.26E-2</v>
      </c>
      <c r="J41" s="393">
        <v>0.19339999999999999</v>
      </c>
      <c r="K41" s="390">
        <v>5.5E-2</v>
      </c>
      <c r="L41" s="238"/>
      <c r="M41" s="231"/>
      <c r="N41" s="235"/>
      <c r="O41" s="248"/>
      <c r="P41" s="247">
        <v>36</v>
      </c>
      <c r="Q41" s="408">
        <v>0.60629999999999995</v>
      </c>
      <c r="R41" s="409">
        <v>1289.7107000000001</v>
      </c>
      <c r="S41" s="406">
        <v>0.83930000000000005</v>
      </c>
      <c r="T41" s="406">
        <v>5.1000000000000004E-3</v>
      </c>
      <c r="U41" s="406">
        <v>1.2E-2</v>
      </c>
      <c r="V41" s="410">
        <v>6.5299999999999997E-2</v>
      </c>
      <c r="W41" s="407">
        <v>4.7999999999999996E-3</v>
      </c>
      <c r="X41" s="238"/>
      <c r="AA41" s="252">
        <v>2048</v>
      </c>
      <c r="AB41" s="251">
        <f t="shared" si="93"/>
        <v>0.25729999999999997</v>
      </c>
      <c r="AC41" s="251">
        <f t="shared" si="94"/>
        <v>1134.5664999999999</v>
      </c>
      <c r="AD41" s="251">
        <f t="shared" si="95"/>
        <v>0.40820000000000001</v>
      </c>
      <c r="AE41" s="251">
        <f t="shared" si="96"/>
        <v>4.4000000000000003E-3</v>
      </c>
      <c r="AF41" s="251">
        <f t="shared" si="97"/>
        <v>1.0800000000000001E-2</v>
      </c>
      <c r="AG41" s="251">
        <f t="shared" si="98"/>
        <v>2.8799999999999999E-2</v>
      </c>
      <c r="AH41" s="255">
        <f t="shared" si="98"/>
        <v>4.1999999999999997E-3</v>
      </c>
      <c r="AJ41" s="252">
        <v>2048</v>
      </c>
      <c r="AK41" s="251">
        <f t="shared" si="99"/>
        <v>0.2288</v>
      </c>
      <c r="AL41" s="251">
        <f t="shared" si="68"/>
        <v>1140.6396</v>
      </c>
      <c r="AM41" s="251">
        <f t="shared" si="69"/>
        <v>0.36480000000000001</v>
      </c>
      <c r="AN41" s="251">
        <f t="shared" si="70"/>
        <v>4.1999999999999997E-3</v>
      </c>
      <c r="AO41" s="251">
        <f t="shared" si="71"/>
        <v>1.09E-2</v>
      </c>
      <c r="AP41" s="251">
        <f t="shared" si="72"/>
        <v>2.5000000000000001E-2</v>
      </c>
      <c r="AQ41" s="255">
        <f t="shared" si="72"/>
        <v>4.0000000000000001E-3</v>
      </c>
      <c r="AS41" s="252">
        <v>2048</v>
      </c>
      <c r="AT41" s="251">
        <f t="shared" si="100"/>
        <v>0.17330000000000001</v>
      </c>
      <c r="AU41" s="251">
        <f t="shared" si="73"/>
        <v>1081.3968</v>
      </c>
      <c r="AV41" s="251">
        <f t="shared" si="74"/>
        <v>0.29389999999999999</v>
      </c>
      <c r="AW41" s="251">
        <f t="shared" si="75"/>
        <v>3.8999999999999998E-3</v>
      </c>
      <c r="AX41" s="251">
        <f t="shared" si="76"/>
        <v>1.03E-2</v>
      </c>
      <c r="AY41" s="251">
        <f t="shared" si="77"/>
        <v>1.9699999999999999E-2</v>
      </c>
      <c r="AZ41" s="255">
        <f t="shared" si="77"/>
        <v>3.7000000000000002E-3</v>
      </c>
      <c r="BB41" s="252">
        <v>2048</v>
      </c>
      <c r="BC41" s="251">
        <f t="shared" si="101"/>
        <v>0.16819999999999999</v>
      </c>
      <c r="BD41" s="251">
        <f t="shared" si="78"/>
        <v>1074.3117</v>
      </c>
      <c r="BE41" s="251">
        <f t="shared" si="79"/>
        <v>0.28949999999999998</v>
      </c>
      <c r="BF41" s="251">
        <f t="shared" si="80"/>
        <v>4.0000000000000001E-3</v>
      </c>
      <c r="BG41" s="251">
        <f t="shared" si="81"/>
        <v>1.03E-2</v>
      </c>
      <c r="BH41" s="251">
        <f t="shared" si="82"/>
        <v>1.9599999999999999E-2</v>
      </c>
      <c r="BI41" s="255">
        <f t="shared" si="82"/>
        <v>3.8E-3</v>
      </c>
      <c r="BK41" s="252">
        <v>2048</v>
      </c>
      <c r="BL41" s="251">
        <f t="shared" si="102"/>
        <v>0.1721</v>
      </c>
      <c r="BM41" s="251">
        <f t="shared" si="83"/>
        <v>1138.0163</v>
      </c>
      <c r="BN41" s="251">
        <f t="shared" si="84"/>
        <v>0.31830000000000003</v>
      </c>
      <c r="BO41" s="251">
        <f t="shared" si="85"/>
        <v>4.3E-3</v>
      </c>
      <c r="BP41" s="251">
        <f t="shared" si="86"/>
        <v>1.09E-2</v>
      </c>
      <c r="BQ41" s="251">
        <f t="shared" si="87"/>
        <v>2.1999999999999999E-2</v>
      </c>
      <c r="BR41" s="255">
        <f t="shared" si="87"/>
        <v>4.1000000000000003E-3</v>
      </c>
      <c r="BT41" s="252">
        <v>2048</v>
      </c>
      <c r="BU41" s="251">
        <f t="shared" si="103"/>
        <v>0.17019999999999999</v>
      </c>
      <c r="BV41" s="251">
        <f t="shared" si="88"/>
        <v>1155.1352999999999</v>
      </c>
      <c r="BW41" s="251">
        <f t="shared" si="89"/>
        <v>0.3231</v>
      </c>
      <c r="BX41" s="251">
        <f t="shared" si="90"/>
        <v>4.3E-3</v>
      </c>
      <c r="BY41" s="251">
        <f t="shared" si="91"/>
        <v>1.0999999999999999E-2</v>
      </c>
      <c r="BZ41" s="251">
        <f t="shared" si="92"/>
        <v>2.24E-2</v>
      </c>
      <c r="CA41" s="255">
        <f t="shared" si="92"/>
        <v>4.1000000000000003E-3</v>
      </c>
    </row>
    <row r="42" spans="2:79" x14ac:dyDescent="0.25">
      <c r="B42" s="235"/>
      <c r="C42" s="247"/>
      <c r="D42" s="247">
        <v>37</v>
      </c>
      <c r="E42" s="391">
        <v>1.2666999999999999</v>
      </c>
      <c r="F42" s="392">
        <v>1327.1683</v>
      </c>
      <c r="G42" s="389">
        <v>4.6125999999999996</v>
      </c>
      <c r="H42" s="389">
        <v>5.8099999999999999E-2</v>
      </c>
      <c r="I42" s="389">
        <v>1.2500000000000001E-2</v>
      </c>
      <c r="J42" s="393">
        <v>0.18729999999999999</v>
      </c>
      <c r="K42" s="390">
        <v>5.5599999999999997E-2</v>
      </c>
      <c r="L42" s="238"/>
      <c r="M42" s="231"/>
      <c r="N42" s="235"/>
      <c r="O42" s="248"/>
      <c r="P42" s="247">
        <v>37</v>
      </c>
      <c r="Q42" s="408">
        <v>0.57289999999999996</v>
      </c>
      <c r="R42" s="409">
        <v>1281.5464999999999</v>
      </c>
      <c r="S42" s="406">
        <v>0.79349999999999998</v>
      </c>
      <c r="T42" s="406">
        <v>5.0000000000000001E-3</v>
      </c>
      <c r="U42" s="406">
        <v>1.1900000000000001E-2</v>
      </c>
      <c r="V42" s="410">
        <v>6.1899999999999997E-2</v>
      </c>
      <c r="W42" s="407">
        <v>4.7000000000000002E-3</v>
      </c>
      <c r="X42" s="238"/>
      <c r="AA42" s="252">
        <v>2049</v>
      </c>
      <c r="AB42" s="251">
        <f t="shared" si="93"/>
        <v>0.25729999999999997</v>
      </c>
      <c r="AC42" s="251">
        <f t="shared" si="94"/>
        <v>1134.5664999999999</v>
      </c>
      <c r="AD42" s="251">
        <f t="shared" si="95"/>
        <v>0.40820000000000001</v>
      </c>
      <c r="AE42" s="251">
        <f t="shared" si="96"/>
        <v>4.4000000000000003E-3</v>
      </c>
      <c r="AF42" s="251">
        <f t="shared" si="97"/>
        <v>1.0800000000000001E-2</v>
      </c>
      <c r="AG42" s="251">
        <f t="shared" si="98"/>
        <v>2.8799999999999999E-2</v>
      </c>
      <c r="AH42" s="255">
        <f t="shared" si="98"/>
        <v>4.1999999999999997E-3</v>
      </c>
      <c r="AJ42" s="252">
        <v>2049</v>
      </c>
      <c r="AK42" s="251">
        <f t="shared" si="99"/>
        <v>0.2288</v>
      </c>
      <c r="AL42" s="251">
        <f t="shared" si="68"/>
        <v>1140.6396</v>
      </c>
      <c r="AM42" s="251">
        <f t="shared" si="69"/>
        <v>0.36480000000000001</v>
      </c>
      <c r="AN42" s="251">
        <f t="shared" si="70"/>
        <v>4.1999999999999997E-3</v>
      </c>
      <c r="AO42" s="251">
        <f t="shared" si="71"/>
        <v>1.09E-2</v>
      </c>
      <c r="AP42" s="251">
        <f t="shared" si="72"/>
        <v>2.5000000000000001E-2</v>
      </c>
      <c r="AQ42" s="255">
        <f t="shared" si="72"/>
        <v>4.0000000000000001E-3</v>
      </c>
      <c r="AS42" s="252">
        <v>2049</v>
      </c>
      <c r="AT42" s="251">
        <f t="shared" si="100"/>
        <v>0.17330000000000001</v>
      </c>
      <c r="AU42" s="251">
        <f t="shared" si="73"/>
        <v>1081.3968</v>
      </c>
      <c r="AV42" s="251">
        <f t="shared" si="74"/>
        <v>0.29389999999999999</v>
      </c>
      <c r="AW42" s="251">
        <f t="shared" si="75"/>
        <v>3.8999999999999998E-3</v>
      </c>
      <c r="AX42" s="251">
        <f t="shared" si="76"/>
        <v>1.03E-2</v>
      </c>
      <c r="AY42" s="251">
        <f t="shared" si="77"/>
        <v>1.9699999999999999E-2</v>
      </c>
      <c r="AZ42" s="255">
        <f t="shared" si="77"/>
        <v>3.7000000000000002E-3</v>
      </c>
      <c r="BB42" s="252">
        <v>2049</v>
      </c>
      <c r="BC42" s="251">
        <f t="shared" si="101"/>
        <v>0.16819999999999999</v>
      </c>
      <c r="BD42" s="251">
        <f t="shared" si="78"/>
        <v>1074.3117</v>
      </c>
      <c r="BE42" s="251">
        <f t="shared" si="79"/>
        <v>0.28949999999999998</v>
      </c>
      <c r="BF42" s="251">
        <f t="shared" si="80"/>
        <v>4.0000000000000001E-3</v>
      </c>
      <c r="BG42" s="251">
        <f t="shared" si="81"/>
        <v>1.03E-2</v>
      </c>
      <c r="BH42" s="251">
        <f t="shared" si="82"/>
        <v>1.9599999999999999E-2</v>
      </c>
      <c r="BI42" s="255">
        <f t="shared" si="82"/>
        <v>3.8E-3</v>
      </c>
      <c r="BK42" s="252">
        <v>2049</v>
      </c>
      <c r="BL42" s="251">
        <f t="shared" si="102"/>
        <v>0.1721</v>
      </c>
      <c r="BM42" s="251">
        <f t="shared" si="83"/>
        <v>1138.0163</v>
      </c>
      <c r="BN42" s="251">
        <f t="shared" si="84"/>
        <v>0.31830000000000003</v>
      </c>
      <c r="BO42" s="251">
        <f t="shared" si="85"/>
        <v>4.3E-3</v>
      </c>
      <c r="BP42" s="251">
        <f t="shared" si="86"/>
        <v>1.09E-2</v>
      </c>
      <c r="BQ42" s="251">
        <f t="shared" si="87"/>
        <v>2.1999999999999999E-2</v>
      </c>
      <c r="BR42" s="255">
        <f t="shared" si="87"/>
        <v>4.1000000000000003E-3</v>
      </c>
      <c r="BT42" s="252">
        <v>2049</v>
      </c>
      <c r="BU42" s="251">
        <f t="shared" si="103"/>
        <v>0.17019999999999999</v>
      </c>
      <c r="BV42" s="251">
        <f t="shared" si="88"/>
        <v>1155.1352999999999</v>
      </c>
      <c r="BW42" s="251">
        <f t="shared" si="89"/>
        <v>0.3231</v>
      </c>
      <c r="BX42" s="251">
        <f t="shared" si="90"/>
        <v>4.3E-3</v>
      </c>
      <c r="BY42" s="251">
        <f t="shared" si="91"/>
        <v>1.0999999999999999E-2</v>
      </c>
      <c r="BZ42" s="251">
        <f t="shared" si="92"/>
        <v>2.24E-2</v>
      </c>
      <c r="CA42" s="255">
        <f t="shared" si="92"/>
        <v>4.1000000000000003E-3</v>
      </c>
    </row>
    <row r="43" spans="2:79" x14ac:dyDescent="0.25">
      <c r="B43" s="235"/>
      <c r="C43" s="247"/>
      <c r="D43" s="247">
        <v>38</v>
      </c>
      <c r="E43" s="391">
        <v>1.2305999999999999</v>
      </c>
      <c r="F43" s="392">
        <v>1323.1632999999999</v>
      </c>
      <c r="G43" s="389">
        <v>4.5833000000000004</v>
      </c>
      <c r="H43" s="389">
        <v>5.8700000000000002E-2</v>
      </c>
      <c r="I43" s="389">
        <v>1.2500000000000001E-2</v>
      </c>
      <c r="J43" s="393">
        <v>0.1812</v>
      </c>
      <c r="K43" s="390">
        <v>5.62E-2</v>
      </c>
      <c r="L43" s="238"/>
      <c r="M43" s="231"/>
      <c r="N43" s="235"/>
      <c r="O43" s="248"/>
      <c r="P43" s="247">
        <v>38</v>
      </c>
      <c r="Q43" s="408">
        <v>0.53939999999999999</v>
      </c>
      <c r="R43" s="409">
        <v>1273.3823</v>
      </c>
      <c r="S43" s="406">
        <v>0.74770000000000003</v>
      </c>
      <c r="T43" s="406">
        <v>4.8999999999999998E-3</v>
      </c>
      <c r="U43" s="406">
        <v>1.1900000000000001E-2</v>
      </c>
      <c r="V43" s="410">
        <v>5.8400000000000001E-2</v>
      </c>
      <c r="W43" s="407">
        <v>4.7000000000000002E-3</v>
      </c>
      <c r="X43" s="238"/>
      <c r="AA43" s="252">
        <v>2050</v>
      </c>
      <c r="AB43" s="251">
        <f t="shared" si="93"/>
        <v>0.25729999999999997</v>
      </c>
      <c r="AC43" s="251">
        <f t="shared" si="94"/>
        <v>1134.5664999999999</v>
      </c>
      <c r="AD43" s="251">
        <f t="shared" si="95"/>
        <v>0.40820000000000001</v>
      </c>
      <c r="AE43" s="251">
        <f t="shared" si="96"/>
        <v>4.4000000000000003E-3</v>
      </c>
      <c r="AF43" s="251">
        <f t="shared" si="97"/>
        <v>1.0800000000000001E-2</v>
      </c>
      <c r="AG43" s="251">
        <f t="shared" si="98"/>
        <v>2.8799999999999999E-2</v>
      </c>
      <c r="AH43" s="255">
        <f t="shared" si="98"/>
        <v>4.1999999999999997E-3</v>
      </c>
      <c r="AJ43" s="252">
        <v>2050</v>
      </c>
      <c r="AK43" s="251">
        <f t="shared" si="99"/>
        <v>0.2288</v>
      </c>
      <c r="AL43" s="251">
        <f t="shared" si="68"/>
        <v>1140.6396</v>
      </c>
      <c r="AM43" s="251">
        <f t="shared" si="69"/>
        <v>0.36480000000000001</v>
      </c>
      <c r="AN43" s="251">
        <f t="shared" si="70"/>
        <v>4.1999999999999997E-3</v>
      </c>
      <c r="AO43" s="251">
        <f t="shared" si="71"/>
        <v>1.09E-2</v>
      </c>
      <c r="AP43" s="251">
        <f t="shared" si="72"/>
        <v>2.5000000000000001E-2</v>
      </c>
      <c r="AQ43" s="255">
        <f t="shared" si="72"/>
        <v>4.0000000000000001E-3</v>
      </c>
      <c r="AS43" s="252">
        <v>2050</v>
      </c>
      <c r="AT43" s="251">
        <f t="shared" si="100"/>
        <v>0.17330000000000001</v>
      </c>
      <c r="AU43" s="251">
        <f t="shared" si="73"/>
        <v>1081.3968</v>
      </c>
      <c r="AV43" s="251">
        <f t="shared" si="74"/>
        <v>0.29389999999999999</v>
      </c>
      <c r="AW43" s="251">
        <f t="shared" si="75"/>
        <v>3.8999999999999998E-3</v>
      </c>
      <c r="AX43" s="251">
        <f t="shared" si="76"/>
        <v>1.03E-2</v>
      </c>
      <c r="AY43" s="251">
        <f t="shared" si="77"/>
        <v>1.9699999999999999E-2</v>
      </c>
      <c r="AZ43" s="255">
        <f t="shared" si="77"/>
        <v>3.7000000000000002E-3</v>
      </c>
      <c r="BB43" s="252">
        <v>2050</v>
      </c>
      <c r="BC43" s="251">
        <f t="shared" si="101"/>
        <v>0.16819999999999999</v>
      </c>
      <c r="BD43" s="251">
        <f t="shared" si="78"/>
        <v>1074.3117</v>
      </c>
      <c r="BE43" s="251">
        <f t="shared" si="79"/>
        <v>0.28949999999999998</v>
      </c>
      <c r="BF43" s="251">
        <f t="shared" si="80"/>
        <v>4.0000000000000001E-3</v>
      </c>
      <c r="BG43" s="251">
        <f t="shared" si="81"/>
        <v>1.03E-2</v>
      </c>
      <c r="BH43" s="251">
        <f t="shared" si="82"/>
        <v>1.9599999999999999E-2</v>
      </c>
      <c r="BI43" s="255">
        <f t="shared" si="82"/>
        <v>3.8E-3</v>
      </c>
      <c r="BK43" s="252">
        <v>2050</v>
      </c>
      <c r="BL43" s="251">
        <f t="shared" si="102"/>
        <v>0.1721</v>
      </c>
      <c r="BM43" s="251">
        <f t="shared" si="83"/>
        <v>1138.0163</v>
      </c>
      <c r="BN43" s="251">
        <f t="shared" si="84"/>
        <v>0.31830000000000003</v>
      </c>
      <c r="BO43" s="251">
        <f t="shared" si="85"/>
        <v>4.3E-3</v>
      </c>
      <c r="BP43" s="251">
        <f t="shared" si="86"/>
        <v>1.09E-2</v>
      </c>
      <c r="BQ43" s="251">
        <f t="shared" si="87"/>
        <v>2.1999999999999999E-2</v>
      </c>
      <c r="BR43" s="255">
        <f t="shared" si="87"/>
        <v>4.1000000000000003E-3</v>
      </c>
      <c r="BT43" s="252">
        <v>2050</v>
      </c>
      <c r="BU43" s="251">
        <f t="shared" si="103"/>
        <v>0.17019999999999999</v>
      </c>
      <c r="BV43" s="251">
        <f t="shared" si="88"/>
        <v>1155.1352999999999</v>
      </c>
      <c r="BW43" s="251">
        <f t="shared" si="89"/>
        <v>0.3231</v>
      </c>
      <c r="BX43" s="251">
        <f t="shared" si="90"/>
        <v>4.3E-3</v>
      </c>
      <c r="BY43" s="251">
        <f t="shared" si="91"/>
        <v>1.0999999999999999E-2</v>
      </c>
      <c r="BZ43" s="251">
        <f t="shared" si="92"/>
        <v>2.24E-2</v>
      </c>
      <c r="CA43" s="255">
        <f t="shared" si="92"/>
        <v>4.1000000000000003E-3</v>
      </c>
    </row>
    <row r="44" spans="2:79" x14ac:dyDescent="0.25">
      <c r="B44" s="235"/>
      <c r="C44" s="247"/>
      <c r="D44" s="247">
        <v>39</v>
      </c>
      <c r="E44" s="391">
        <v>1.1946000000000001</v>
      </c>
      <c r="F44" s="392">
        <v>1319.1583000000001</v>
      </c>
      <c r="G44" s="389">
        <v>4.5540000000000003</v>
      </c>
      <c r="H44" s="389">
        <v>5.9299999999999999E-2</v>
      </c>
      <c r="I44" s="389">
        <v>1.2500000000000001E-2</v>
      </c>
      <c r="J44" s="393">
        <v>0.17510000000000001</v>
      </c>
      <c r="K44" s="390">
        <v>5.67E-2</v>
      </c>
      <c r="L44" s="238"/>
      <c r="M44" s="231"/>
      <c r="N44" s="235"/>
      <c r="O44" s="248"/>
      <c r="P44" s="247">
        <v>39</v>
      </c>
      <c r="Q44" s="408">
        <v>0.50600000000000001</v>
      </c>
      <c r="R44" s="409">
        <v>1265.2181</v>
      </c>
      <c r="S44" s="406">
        <v>0.70199999999999996</v>
      </c>
      <c r="T44" s="406">
        <v>4.7999999999999996E-3</v>
      </c>
      <c r="U44" s="406">
        <v>1.18E-2</v>
      </c>
      <c r="V44" s="410">
        <v>5.4899999999999997E-2</v>
      </c>
      <c r="W44" s="407">
        <v>4.5999999999999999E-3</v>
      </c>
      <c r="X44" s="238"/>
      <c r="AA44" s="252">
        <v>2051</v>
      </c>
      <c r="AB44" s="251">
        <f t="shared" si="93"/>
        <v>0.25729999999999997</v>
      </c>
      <c r="AC44" s="251">
        <f t="shared" si="94"/>
        <v>1134.5664999999999</v>
      </c>
      <c r="AD44" s="251">
        <f t="shared" si="95"/>
        <v>0.40820000000000001</v>
      </c>
      <c r="AE44" s="251">
        <f t="shared" si="96"/>
        <v>4.4000000000000003E-3</v>
      </c>
      <c r="AF44" s="251">
        <f t="shared" si="97"/>
        <v>1.0800000000000001E-2</v>
      </c>
      <c r="AG44" s="251">
        <f t="shared" si="98"/>
        <v>2.8799999999999999E-2</v>
      </c>
      <c r="AH44" s="255">
        <f t="shared" si="98"/>
        <v>4.1999999999999997E-3</v>
      </c>
      <c r="AJ44" s="252">
        <v>2051</v>
      </c>
      <c r="AK44" s="251">
        <f t="shared" si="99"/>
        <v>0.2288</v>
      </c>
      <c r="AL44" s="251">
        <f t="shared" si="68"/>
        <v>1140.6396</v>
      </c>
      <c r="AM44" s="251">
        <f t="shared" si="69"/>
        <v>0.36480000000000001</v>
      </c>
      <c r="AN44" s="251">
        <f t="shared" si="70"/>
        <v>4.1999999999999997E-3</v>
      </c>
      <c r="AO44" s="251">
        <f t="shared" si="71"/>
        <v>1.09E-2</v>
      </c>
      <c r="AP44" s="251">
        <f t="shared" si="72"/>
        <v>2.5000000000000001E-2</v>
      </c>
      <c r="AQ44" s="255">
        <f t="shared" si="72"/>
        <v>4.0000000000000001E-3</v>
      </c>
      <c r="AS44" s="252">
        <v>2051</v>
      </c>
      <c r="AT44" s="251">
        <f t="shared" si="100"/>
        <v>0.17330000000000001</v>
      </c>
      <c r="AU44" s="251">
        <f t="shared" si="73"/>
        <v>1081.3968</v>
      </c>
      <c r="AV44" s="251">
        <f t="shared" si="74"/>
        <v>0.29389999999999999</v>
      </c>
      <c r="AW44" s="251">
        <f t="shared" si="75"/>
        <v>3.8999999999999998E-3</v>
      </c>
      <c r="AX44" s="251">
        <f t="shared" si="76"/>
        <v>1.03E-2</v>
      </c>
      <c r="AY44" s="251">
        <f t="shared" si="77"/>
        <v>1.9699999999999999E-2</v>
      </c>
      <c r="AZ44" s="255">
        <f t="shared" si="77"/>
        <v>3.7000000000000002E-3</v>
      </c>
      <c r="BB44" s="252">
        <v>2051</v>
      </c>
      <c r="BC44" s="251">
        <f t="shared" si="101"/>
        <v>0.16819999999999999</v>
      </c>
      <c r="BD44" s="251">
        <f t="shared" si="78"/>
        <v>1074.3117</v>
      </c>
      <c r="BE44" s="251">
        <f t="shared" si="79"/>
        <v>0.28949999999999998</v>
      </c>
      <c r="BF44" s="251">
        <f t="shared" si="80"/>
        <v>4.0000000000000001E-3</v>
      </c>
      <c r="BG44" s="251">
        <f t="shared" si="81"/>
        <v>1.03E-2</v>
      </c>
      <c r="BH44" s="251">
        <f t="shared" si="82"/>
        <v>1.9599999999999999E-2</v>
      </c>
      <c r="BI44" s="255">
        <f t="shared" si="82"/>
        <v>3.8E-3</v>
      </c>
      <c r="BK44" s="252">
        <v>2051</v>
      </c>
      <c r="BL44" s="251">
        <f t="shared" si="102"/>
        <v>0.1721</v>
      </c>
      <c r="BM44" s="251">
        <f t="shared" si="83"/>
        <v>1138.0163</v>
      </c>
      <c r="BN44" s="251">
        <f t="shared" si="84"/>
        <v>0.31830000000000003</v>
      </c>
      <c r="BO44" s="251">
        <f t="shared" si="85"/>
        <v>4.3E-3</v>
      </c>
      <c r="BP44" s="251">
        <f t="shared" si="86"/>
        <v>1.09E-2</v>
      </c>
      <c r="BQ44" s="251">
        <f t="shared" si="87"/>
        <v>2.1999999999999999E-2</v>
      </c>
      <c r="BR44" s="255">
        <f t="shared" si="87"/>
        <v>4.1000000000000003E-3</v>
      </c>
      <c r="BT44" s="252">
        <v>2051</v>
      </c>
      <c r="BU44" s="251">
        <f t="shared" si="103"/>
        <v>0.17019999999999999</v>
      </c>
      <c r="BV44" s="251">
        <f t="shared" si="88"/>
        <v>1155.1352999999999</v>
      </c>
      <c r="BW44" s="251">
        <f t="shared" si="89"/>
        <v>0.3231</v>
      </c>
      <c r="BX44" s="251">
        <f t="shared" si="90"/>
        <v>4.3E-3</v>
      </c>
      <c r="BY44" s="251">
        <f t="shared" si="91"/>
        <v>1.0999999999999999E-2</v>
      </c>
      <c r="BZ44" s="251">
        <f t="shared" si="92"/>
        <v>2.24E-2</v>
      </c>
      <c r="CA44" s="255">
        <f t="shared" si="92"/>
        <v>4.1000000000000003E-3</v>
      </c>
    </row>
    <row r="45" spans="2:79" x14ac:dyDescent="0.25">
      <c r="B45" s="235"/>
      <c r="C45" s="247"/>
      <c r="D45" s="247">
        <v>40</v>
      </c>
      <c r="E45" s="391">
        <v>1.1586000000000001</v>
      </c>
      <c r="F45" s="392">
        <v>1315.1532999999999</v>
      </c>
      <c r="G45" s="389">
        <v>4.5247000000000002</v>
      </c>
      <c r="H45" s="389">
        <v>5.9900000000000002E-2</v>
      </c>
      <c r="I45" s="389">
        <v>1.2500000000000001E-2</v>
      </c>
      <c r="J45" s="393">
        <v>0.16900000000000001</v>
      </c>
      <c r="K45" s="390">
        <v>5.7299999999999997E-2</v>
      </c>
      <c r="L45" s="238"/>
      <c r="M45" s="231"/>
      <c r="N45" s="235"/>
      <c r="O45" s="248"/>
      <c r="P45" s="247">
        <v>40</v>
      </c>
      <c r="Q45" s="408">
        <v>0.47249999999999998</v>
      </c>
      <c r="R45" s="409">
        <v>1257.0539000000001</v>
      </c>
      <c r="S45" s="406">
        <v>0.65620000000000001</v>
      </c>
      <c r="T45" s="406">
        <v>4.7000000000000002E-3</v>
      </c>
      <c r="U45" s="406">
        <v>1.18E-2</v>
      </c>
      <c r="V45" s="410">
        <v>5.1499999999999997E-2</v>
      </c>
      <c r="W45" s="407">
        <v>4.4999999999999997E-3</v>
      </c>
      <c r="X45" s="238"/>
      <c r="AA45" s="252">
        <v>2052</v>
      </c>
      <c r="AB45" s="251">
        <f t="shared" si="93"/>
        <v>0.25729999999999997</v>
      </c>
      <c r="AC45" s="251">
        <f t="shared" si="94"/>
        <v>1134.5664999999999</v>
      </c>
      <c r="AD45" s="251">
        <f t="shared" si="95"/>
        <v>0.40820000000000001</v>
      </c>
      <c r="AE45" s="251">
        <f t="shared" si="96"/>
        <v>4.4000000000000003E-3</v>
      </c>
      <c r="AF45" s="251">
        <f t="shared" si="97"/>
        <v>1.0800000000000001E-2</v>
      </c>
      <c r="AG45" s="251">
        <f t="shared" si="98"/>
        <v>2.8799999999999999E-2</v>
      </c>
      <c r="AH45" s="255">
        <f t="shared" si="98"/>
        <v>4.1999999999999997E-3</v>
      </c>
      <c r="AJ45" s="252">
        <v>2052</v>
      </c>
      <c r="AK45" s="251">
        <f t="shared" si="99"/>
        <v>0.2288</v>
      </c>
      <c r="AL45" s="251">
        <f t="shared" si="68"/>
        <v>1140.6396</v>
      </c>
      <c r="AM45" s="251">
        <f t="shared" si="69"/>
        <v>0.36480000000000001</v>
      </c>
      <c r="AN45" s="251">
        <f t="shared" si="70"/>
        <v>4.1999999999999997E-3</v>
      </c>
      <c r="AO45" s="251">
        <f t="shared" si="71"/>
        <v>1.09E-2</v>
      </c>
      <c r="AP45" s="251">
        <f t="shared" si="72"/>
        <v>2.5000000000000001E-2</v>
      </c>
      <c r="AQ45" s="255">
        <f t="shared" si="72"/>
        <v>4.0000000000000001E-3</v>
      </c>
      <c r="AS45" s="252">
        <v>2052</v>
      </c>
      <c r="AT45" s="251">
        <f t="shared" si="100"/>
        <v>0.17330000000000001</v>
      </c>
      <c r="AU45" s="251">
        <f t="shared" si="73"/>
        <v>1081.3968</v>
      </c>
      <c r="AV45" s="251">
        <f t="shared" si="74"/>
        <v>0.29389999999999999</v>
      </c>
      <c r="AW45" s="251">
        <f t="shared" si="75"/>
        <v>3.8999999999999998E-3</v>
      </c>
      <c r="AX45" s="251">
        <f t="shared" si="76"/>
        <v>1.03E-2</v>
      </c>
      <c r="AY45" s="251">
        <f t="shared" si="77"/>
        <v>1.9699999999999999E-2</v>
      </c>
      <c r="AZ45" s="255">
        <f t="shared" si="77"/>
        <v>3.7000000000000002E-3</v>
      </c>
      <c r="BB45" s="252">
        <v>2052</v>
      </c>
      <c r="BC45" s="251">
        <f t="shared" si="101"/>
        <v>0.16819999999999999</v>
      </c>
      <c r="BD45" s="251">
        <f t="shared" si="78"/>
        <v>1074.3117</v>
      </c>
      <c r="BE45" s="251">
        <f t="shared" si="79"/>
        <v>0.28949999999999998</v>
      </c>
      <c r="BF45" s="251">
        <f t="shared" si="80"/>
        <v>4.0000000000000001E-3</v>
      </c>
      <c r="BG45" s="251">
        <f t="shared" si="81"/>
        <v>1.03E-2</v>
      </c>
      <c r="BH45" s="251">
        <f t="shared" si="82"/>
        <v>1.9599999999999999E-2</v>
      </c>
      <c r="BI45" s="255">
        <f t="shared" si="82"/>
        <v>3.8E-3</v>
      </c>
      <c r="BK45" s="252">
        <v>2052</v>
      </c>
      <c r="BL45" s="251">
        <f t="shared" si="102"/>
        <v>0.1721</v>
      </c>
      <c r="BM45" s="251">
        <f t="shared" si="83"/>
        <v>1138.0163</v>
      </c>
      <c r="BN45" s="251">
        <f t="shared" si="84"/>
        <v>0.31830000000000003</v>
      </c>
      <c r="BO45" s="251">
        <f t="shared" si="85"/>
        <v>4.3E-3</v>
      </c>
      <c r="BP45" s="251">
        <f t="shared" si="86"/>
        <v>1.09E-2</v>
      </c>
      <c r="BQ45" s="251">
        <f t="shared" si="87"/>
        <v>2.1999999999999999E-2</v>
      </c>
      <c r="BR45" s="255">
        <f t="shared" si="87"/>
        <v>4.1000000000000003E-3</v>
      </c>
      <c r="BT45" s="252">
        <v>2052</v>
      </c>
      <c r="BU45" s="251">
        <f t="shared" si="103"/>
        <v>0.17019999999999999</v>
      </c>
      <c r="BV45" s="251">
        <f t="shared" si="88"/>
        <v>1155.1352999999999</v>
      </c>
      <c r="BW45" s="251">
        <f t="shared" si="89"/>
        <v>0.3231</v>
      </c>
      <c r="BX45" s="251">
        <f t="shared" si="90"/>
        <v>4.3E-3</v>
      </c>
      <c r="BY45" s="251">
        <f t="shared" si="91"/>
        <v>1.0999999999999999E-2</v>
      </c>
      <c r="BZ45" s="251">
        <f t="shared" si="92"/>
        <v>2.24E-2</v>
      </c>
      <c r="CA45" s="255">
        <f t="shared" si="92"/>
        <v>4.1000000000000003E-3</v>
      </c>
    </row>
    <row r="46" spans="2:79" x14ac:dyDescent="0.25">
      <c r="B46" s="235"/>
      <c r="C46" s="247"/>
      <c r="D46" s="247">
        <v>41</v>
      </c>
      <c r="E46" s="391">
        <v>1.1259999999999999</v>
      </c>
      <c r="F46" s="392">
        <v>1312.3858</v>
      </c>
      <c r="G46" s="389">
        <v>4.5115999999999996</v>
      </c>
      <c r="H46" s="389">
        <v>5.9799999999999999E-2</v>
      </c>
      <c r="I46" s="389">
        <v>1.24E-2</v>
      </c>
      <c r="J46" s="393">
        <v>0.1638</v>
      </c>
      <c r="K46" s="390">
        <v>5.7200000000000001E-2</v>
      </c>
      <c r="L46" s="238"/>
      <c r="M46" s="231"/>
      <c r="N46" s="235"/>
      <c r="O46" s="248"/>
      <c r="P46" s="247">
        <v>41</v>
      </c>
      <c r="Q46" s="408">
        <v>0.45119999999999999</v>
      </c>
      <c r="R46" s="409">
        <v>1253.5181</v>
      </c>
      <c r="S46" s="406">
        <v>0.63060000000000005</v>
      </c>
      <c r="T46" s="406">
        <v>4.7000000000000002E-3</v>
      </c>
      <c r="U46" s="406">
        <v>1.17E-2</v>
      </c>
      <c r="V46" s="410">
        <v>4.9299999999999997E-2</v>
      </c>
      <c r="W46" s="407">
        <v>4.4999999999999997E-3</v>
      </c>
      <c r="X46" s="238"/>
      <c r="AA46" s="252">
        <v>2053</v>
      </c>
      <c r="AB46" s="251">
        <f t="shared" si="93"/>
        <v>0.25729999999999997</v>
      </c>
      <c r="AC46" s="251">
        <f t="shared" si="94"/>
        <v>1134.5664999999999</v>
      </c>
      <c r="AD46" s="251">
        <f t="shared" si="95"/>
        <v>0.40820000000000001</v>
      </c>
      <c r="AE46" s="251">
        <f t="shared" si="96"/>
        <v>4.4000000000000003E-3</v>
      </c>
      <c r="AF46" s="251">
        <f t="shared" si="97"/>
        <v>1.0800000000000001E-2</v>
      </c>
      <c r="AG46" s="251">
        <f t="shared" si="98"/>
        <v>2.8799999999999999E-2</v>
      </c>
      <c r="AH46" s="255">
        <f t="shared" si="98"/>
        <v>4.1999999999999997E-3</v>
      </c>
      <c r="AJ46" s="252">
        <v>2053</v>
      </c>
      <c r="AK46" s="251">
        <f t="shared" si="99"/>
        <v>0.2288</v>
      </c>
      <c r="AL46" s="251">
        <f t="shared" si="68"/>
        <v>1140.6396</v>
      </c>
      <c r="AM46" s="251">
        <f t="shared" si="69"/>
        <v>0.36480000000000001</v>
      </c>
      <c r="AN46" s="251">
        <f t="shared" si="70"/>
        <v>4.1999999999999997E-3</v>
      </c>
      <c r="AO46" s="251">
        <f t="shared" si="71"/>
        <v>1.09E-2</v>
      </c>
      <c r="AP46" s="251">
        <f t="shared" si="72"/>
        <v>2.5000000000000001E-2</v>
      </c>
      <c r="AQ46" s="255">
        <f t="shared" si="72"/>
        <v>4.0000000000000001E-3</v>
      </c>
      <c r="AS46" s="252">
        <v>2053</v>
      </c>
      <c r="AT46" s="251">
        <f t="shared" si="100"/>
        <v>0.17330000000000001</v>
      </c>
      <c r="AU46" s="251">
        <f t="shared" si="73"/>
        <v>1081.3968</v>
      </c>
      <c r="AV46" s="251">
        <f t="shared" si="74"/>
        <v>0.29389999999999999</v>
      </c>
      <c r="AW46" s="251">
        <f t="shared" si="75"/>
        <v>3.8999999999999998E-3</v>
      </c>
      <c r="AX46" s="251">
        <f t="shared" si="76"/>
        <v>1.03E-2</v>
      </c>
      <c r="AY46" s="251">
        <f t="shared" si="77"/>
        <v>1.9699999999999999E-2</v>
      </c>
      <c r="AZ46" s="255">
        <f t="shared" si="77"/>
        <v>3.7000000000000002E-3</v>
      </c>
      <c r="BB46" s="252">
        <v>2053</v>
      </c>
      <c r="BC46" s="251">
        <f t="shared" si="101"/>
        <v>0.16819999999999999</v>
      </c>
      <c r="BD46" s="251">
        <f t="shared" si="78"/>
        <v>1074.3117</v>
      </c>
      <c r="BE46" s="251">
        <f t="shared" si="79"/>
        <v>0.28949999999999998</v>
      </c>
      <c r="BF46" s="251">
        <f t="shared" si="80"/>
        <v>4.0000000000000001E-3</v>
      </c>
      <c r="BG46" s="251">
        <f t="shared" si="81"/>
        <v>1.03E-2</v>
      </c>
      <c r="BH46" s="251">
        <f t="shared" si="82"/>
        <v>1.9599999999999999E-2</v>
      </c>
      <c r="BI46" s="255">
        <f t="shared" si="82"/>
        <v>3.8E-3</v>
      </c>
      <c r="BK46" s="252">
        <v>2053</v>
      </c>
      <c r="BL46" s="251">
        <f t="shared" si="102"/>
        <v>0.1721</v>
      </c>
      <c r="BM46" s="251">
        <f t="shared" si="83"/>
        <v>1138.0163</v>
      </c>
      <c r="BN46" s="251">
        <f t="shared" si="84"/>
        <v>0.31830000000000003</v>
      </c>
      <c r="BO46" s="251">
        <f t="shared" si="85"/>
        <v>4.3E-3</v>
      </c>
      <c r="BP46" s="251">
        <f t="shared" si="86"/>
        <v>1.09E-2</v>
      </c>
      <c r="BQ46" s="251">
        <f t="shared" si="87"/>
        <v>2.1999999999999999E-2</v>
      </c>
      <c r="BR46" s="255">
        <f t="shared" si="87"/>
        <v>4.1000000000000003E-3</v>
      </c>
      <c r="BT46" s="252">
        <v>2053</v>
      </c>
      <c r="BU46" s="251">
        <f t="shared" si="103"/>
        <v>0.17019999999999999</v>
      </c>
      <c r="BV46" s="251">
        <f t="shared" si="88"/>
        <v>1155.1352999999999</v>
      </c>
      <c r="BW46" s="251">
        <f t="shared" si="89"/>
        <v>0.3231</v>
      </c>
      <c r="BX46" s="251">
        <f t="shared" si="90"/>
        <v>4.3E-3</v>
      </c>
      <c r="BY46" s="251">
        <f t="shared" si="91"/>
        <v>1.0999999999999999E-2</v>
      </c>
      <c r="BZ46" s="251">
        <f t="shared" si="92"/>
        <v>2.24E-2</v>
      </c>
      <c r="CA46" s="255">
        <f t="shared" si="92"/>
        <v>4.1000000000000003E-3</v>
      </c>
    </row>
    <row r="47" spans="2:79" x14ac:dyDescent="0.25">
      <c r="B47" s="235"/>
      <c r="C47" s="247"/>
      <c r="D47" s="247">
        <v>42</v>
      </c>
      <c r="E47" s="391">
        <v>1.0933999999999999</v>
      </c>
      <c r="F47" s="392">
        <v>1309.6183000000001</v>
      </c>
      <c r="G47" s="389">
        <v>4.4984000000000002</v>
      </c>
      <c r="H47" s="389">
        <v>5.9700000000000003E-2</v>
      </c>
      <c r="I47" s="389">
        <v>1.24E-2</v>
      </c>
      <c r="J47" s="393">
        <v>0.1585</v>
      </c>
      <c r="K47" s="390">
        <v>5.7099999999999998E-2</v>
      </c>
      <c r="L47" s="238"/>
      <c r="M47" s="231"/>
      <c r="N47" s="235"/>
      <c r="O47" s="248"/>
      <c r="P47" s="247">
        <v>42</v>
      </c>
      <c r="Q47" s="408">
        <v>0.4299</v>
      </c>
      <c r="R47" s="409">
        <v>1249.9821999999999</v>
      </c>
      <c r="S47" s="406">
        <v>0.60499999999999998</v>
      </c>
      <c r="T47" s="406">
        <v>4.5999999999999999E-3</v>
      </c>
      <c r="U47" s="406">
        <v>1.17E-2</v>
      </c>
      <c r="V47" s="410">
        <v>4.7100000000000003E-2</v>
      </c>
      <c r="W47" s="407">
        <v>4.4000000000000003E-3</v>
      </c>
      <c r="X47" s="238"/>
      <c r="AA47" s="252">
        <v>2054</v>
      </c>
      <c r="AB47" s="251">
        <f t="shared" si="93"/>
        <v>0.25729999999999997</v>
      </c>
      <c r="AC47" s="251">
        <f t="shared" si="94"/>
        <v>1134.5664999999999</v>
      </c>
      <c r="AD47" s="251">
        <f t="shared" si="95"/>
        <v>0.40820000000000001</v>
      </c>
      <c r="AE47" s="251">
        <f t="shared" si="96"/>
        <v>4.4000000000000003E-3</v>
      </c>
      <c r="AF47" s="251">
        <f t="shared" si="97"/>
        <v>1.0800000000000001E-2</v>
      </c>
      <c r="AG47" s="251">
        <f t="shared" si="98"/>
        <v>2.8799999999999999E-2</v>
      </c>
      <c r="AH47" s="255">
        <f t="shared" si="98"/>
        <v>4.1999999999999997E-3</v>
      </c>
      <c r="AJ47" s="252">
        <v>2054</v>
      </c>
      <c r="AK47" s="251">
        <f t="shared" si="99"/>
        <v>0.2288</v>
      </c>
      <c r="AL47" s="251">
        <f t="shared" si="68"/>
        <v>1140.6396</v>
      </c>
      <c r="AM47" s="251">
        <f t="shared" si="69"/>
        <v>0.36480000000000001</v>
      </c>
      <c r="AN47" s="251">
        <f t="shared" si="70"/>
        <v>4.1999999999999997E-3</v>
      </c>
      <c r="AO47" s="251">
        <f t="shared" si="71"/>
        <v>1.09E-2</v>
      </c>
      <c r="AP47" s="251">
        <f t="shared" si="72"/>
        <v>2.5000000000000001E-2</v>
      </c>
      <c r="AQ47" s="255">
        <f t="shared" si="72"/>
        <v>4.0000000000000001E-3</v>
      </c>
      <c r="AS47" s="252">
        <v>2054</v>
      </c>
      <c r="AT47" s="251">
        <f t="shared" si="100"/>
        <v>0.17330000000000001</v>
      </c>
      <c r="AU47" s="251">
        <f t="shared" si="73"/>
        <v>1081.3968</v>
      </c>
      <c r="AV47" s="251">
        <f t="shared" si="74"/>
        <v>0.29389999999999999</v>
      </c>
      <c r="AW47" s="251">
        <f t="shared" si="75"/>
        <v>3.8999999999999998E-3</v>
      </c>
      <c r="AX47" s="251">
        <f t="shared" si="76"/>
        <v>1.03E-2</v>
      </c>
      <c r="AY47" s="251">
        <f t="shared" si="77"/>
        <v>1.9699999999999999E-2</v>
      </c>
      <c r="AZ47" s="255">
        <f t="shared" si="77"/>
        <v>3.7000000000000002E-3</v>
      </c>
      <c r="BB47" s="252">
        <v>2054</v>
      </c>
      <c r="BC47" s="251">
        <f t="shared" si="101"/>
        <v>0.16819999999999999</v>
      </c>
      <c r="BD47" s="251">
        <f t="shared" si="78"/>
        <v>1074.3117</v>
      </c>
      <c r="BE47" s="251">
        <f t="shared" si="79"/>
        <v>0.28949999999999998</v>
      </c>
      <c r="BF47" s="251">
        <f t="shared" si="80"/>
        <v>4.0000000000000001E-3</v>
      </c>
      <c r="BG47" s="251">
        <f t="shared" si="81"/>
        <v>1.03E-2</v>
      </c>
      <c r="BH47" s="251">
        <f t="shared" si="82"/>
        <v>1.9599999999999999E-2</v>
      </c>
      <c r="BI47" s="255">
        <f t="shared" si="82"/>
        <v>3.8E-3</v>
      </c>
      <c r="BK47" s="252">
        <v>2054</v>
      </c>
      <c r="BL47" s="251">
        <f t="shared" si="102"/>
        <v>0.1721</v>
      </c>
      <c r="BM47" s="251">
        <f t="shared" si="83"/>
        <v>1138.0163</v>
      </c>
      <c r="BN47" s="251">
        <f t="shared" si="84"/>
        <v>0.31830000000000003</v>
      </c>
      <c r="BO47" s="251">
        <f t="shared" si="85"/>
        <v>4.3E-3</v>
      </c>
      <c r="BP47" s="251">
        <f t="shared" si="86"/>
        <v>1.09E-2</v>
      </c>
      <c r="BQ47" s="251">
        <f t="shared" si="87"/>
        <v>2.1999999999999999E-2</v>
      </c>
      <c r="BR47" s="255">
        <f t="shared" si="87"/>
        <v>4.1000000000000003E-3</v>
      </c>
      <c r="BT47" s="252">
        <v>2054</v>
      </c>
      <c r="BU47" s="251">
        <f t="shared" si="103"/>
        <v>0.17019999999999999</v>
      </c>
      <c r="BV47" s="251">
        <f t="shared" si="88"/>
        <v>1155.1352999999999</v>
      </c>
      <c r="BW47" s="251">
        <f t="shared" si="89"/>
        <v>0.3231</v>
      </c>
      <c r="BX47" s="251">
        <f t="shared" si="90"/>
        <v>4.3E-3</v>
      </c>
      <c r="BY47" s="251">
        <f t="shared" si="91"/>
        <v>1.0999999999999999E-2</v>
      </c>
      <c r="BZ47" s="251">
        <f t="shared" si="92"/>
        <v>2.24E-2</v>
      </c>
      <c r="CA47" s="255">
        <f t="shared" si="92"/>
        <v>4.1000000000000003E-3</v>
      </c>
    </row>
    <row r="48" spans="2:79" x14ac:dyDescent="0.25">
      <c r="B48" s="235"/>
      <c r="C48" s="247"/>
      <c r="D48" s="247">
        <v>43</v>
      </c>
      <c r="E48" s="391">
        <v>1.0609</v>
      </c>
      <c r="F48" s="392">
        <v>1306.8507999999999</v>
      </c>
      <c r="G48" s="389">
        <v>4.4851999999999999</v>
      </c>
      <c r="H48" s="389">
        <v>5.96E-2</v>
      </c>
      <c r="I48" s="389">
        <v>1.24E-2</v>
      </c>
      <c r="J48" s="393">
        <v>0.15329999999999999</v>
      </c>
      <c r="K48" s="390">
        <v>5.7000000000000002E-2</v>
      </c>
      <c r="L48" s="238"/>
      <c r="M48" s="231"/>
      <c r="N48" s="235"/>
      <c r="O48" s="248"/>
      <c r="P48" s="247">
        <v>43</v>
      </c>
      <c r="Q48" s="408">
        <v>0.40860000000000002</v>
      </c>
      <c r="R48" s="409">
        <v>1246.4463000000001</v>
      </c>
      <c r="S48" s="406">
        <v>0.57950000000000002</v>
      </c>
      <c r="T48" s="406">
        <v>4.5999999999999999E-3</v>
      </c>
      <c r="U48" s="406">
        <v>1.17E-2</v>
      </c>
      <c r="V48" s="410">
        <v>4.4999999999999998E-2</v>
      </c>
      <c r="W48" s="407">
        <v>4.4000000000000003E-3</v>
      </c>
      <c r="X48" s="238"/>
      <c r="AA48" s="252">
        <v>2055</v>
      </c>
      <c r="AB48" s="251">
        <f t="shared" si="93"/>
        <v>0.25729999999999997</v>
      </c>
      <c r="AC48" s="251">
        <f t="shared" si="94"/>
        <v>1134.5664999999999</v>
      </c>
      <c r="AD48" s="251">
        <f t="shared" si="95"/>
        <v>0.40820000000000001</v>
      </c>
      <c r="AE48" s="251">
        <f t="shared" si="96"/>
        <v>4.4000000000000003E-3</v>
      </c>
      <c r="AF48" s="251">
        <f t="shared" si="97"/>
        <v>1.0800000000000001E-2</v>
      </c>
      <c r="AG48" s="251">
        <f t="shared" si="98"/>
        <v>2.8799999999999999E-2</v>
      </c>
      <c r="AH48" s="255">
        <f t="shared" si="98"/>
        <v>4.1999999999999997E-3</v>
      </c>
      <c r="AJ48" s="252">
        <v>2055</v>
      </c>
      <c r="AK48" s="251">
        <f t="shared" si="99"/>
        <v>0.2288</v>
      </c>
      <c r="AL48" s="251">
        <f t="shared" si="68"/>
        <v>1140.6396</v>
      </c>
      <c r="AM48" s="251">
        <f t="shared" si="69"/>
        <v>0.36480000000000001</v>
      </c>
      <c r="AN48" s="251">
        <f t="shared" si="70"/>
        <v>4.1999999999999997E-3</v>
      </c>
      <c r="AO48" s="251">
        <f t="shared" si="71"/>
        <v>1.09E-2</v>
      </c>
      <c r="AP48" s="251">
        <f t="shared" si="72"/>
        <v>2.5000000000000001E-2</v>
      </c>
      <c r="AQ48" s="255">
        <f t="shared" si="72"/>
        <v>4.0000000000000001E-3</v>
      </c>
      <c r="AS48" s="252">
        <v>2055</v>
      </c>
      <c r="AT48" s="251">
        <f t="shared" si="100"/>
        <v>0.17330000000000001</v>
      </c>
      <c r="AU48" s="251">
        <f t="shared" si="73"/>
        <v>1081.3968</v>
      </c>
      <c r="AV48" s="251">
        <f t="shared" si="74"/>
        <v>0.29389999999999999</v>
      </c>
      <c r="AW48" s="251">
        <f t="shared" si="75"/>
        <v>3.8999999999999998E-3</v>
      </c>
      <c r="AX48" s="251">
        <f t="shared" si="76"/>
        <v>1.03E-2</v>
      </c>
      <c r="AY48" s="251">
        <f t="shared" si="77"/>
        <v>1.9699999999999999E-2</v>
      </c>
      <c r="AZ48" s="255">
        <f t="shared" si="77"/>
        <v>3.7000000000000002E-3</v>
      </c>
      <c r="BB48" s="252">
        <v>2055</v>
      </c>
      <c r="BC48" s="251">
        <f t="shared" si="101"/>
        <v>0.16819999999999999</v>
      </c>
      <c r="BD48" s="251">
        <f t="shared" si="78"/>
        <v>1074.3117</v>
      </c>
      <c r="BE48" s="251">
        <f t="shared" si="79"/>
        <v>0.28949999999999998</v>
      </c>
      <c r="BF48" s="251">
        <f t="shared" si="80"/>
        <v>4.0000000000000001E-3</v>
      </c>
      <c r="BG48" s="251">
        <f t="shared" si="81"/>
        <v>1.03E-2</v>
      </c>
      <c r="BH48" s="251">
        <f t="shared" si="82"/>
        <v>1.9599999999999999E-2</v>
      </c>
      <c r="BI48" s="255">
        <f t="shared" si="82"/>
        <v>3.8E-3</v>
      </c>
      <c r="BK48" s="252">
        <v>2055</v>
      </c>
      <c r="BL48" s="251">
        <f t="shared" si="102"/>
        <v>0.1721</v>
      </c>
      <c r="BM48" s="251">
        <f t="shared" si="83"/>
        <v>1138.0163</v>
      </c>
      <c r="BN48" s="251">
        <f t="shared" si="84"/>
        <v>0.31830000000000003</v>
      </c>
      <c r="BO48" s="251">
        <f t="shared" si="85"/>
        <v>4.3E-3</v>
      </c>
      <c r="BP48" s="251">
        <f t="shared" si="86"/>
        <v>1.09E-2</v>
      </c>
      <c r="BQ48" s="251">
        <f t="shared" si="87"/>
        <v>2.1999999999999999E-2</v>
      </c>
      <c r="BR48" s="255">
        <f t="shared" si="87"/>
        <v>4.1000000000000003E-3</v>
      </c>
      <c r="BT48" s="252">
        <v>2055</v>
      </c>
      <c r="BU48" s="251">
        <f t="shared" si="103"/>
        <v>0.17019999999999999</v>
      </c>
      <c r="BV48" s="251">
        <f t="shared" si="88"/>
        <v>1155.1352999999999</v>
      </c>
      <c r="BW48" s="251">
        <f t="shared" si="89"/>
        <v>0.3231</v>
      </c>
      <c r="BX48" s="251">
        <f t="shared" si="90"/>
        <v>4.3E-3</v>
      </c>
      <c r="BY48" s="251">
        <f t="shared" si="91"/>
        <v>1.0999999999999999E-2</v>
      </c>
      <c r="BZ48" s="251">
        <f t="shared" si="92"/>
        <v>2.24E-2</v>
      </c>
      <c r="CA48" s="255">
        <f t="shared" si="92"/>
        <v>4.1000000000000003E-3</v>
      </c>
    </row>
    <row r="49" spans="2:79" x14ac:dyDescent="0.25">
      <c r="B49" s="235"/>
      <c r="C49" s="247"/>
      <c r="D49" s="247">
        <v>44</v>
      </c>
      <c r="E49" s="391">
        <v>1.0283</v>
      </c>
      <c r="F49" s="392">
        <v>1304.0834</v>
      </c>
      <c r="G49" s="389">
        <v>4.4720000000000004</v>
      </c>
      <c r="H49" s="389">
        <v>5.9400000000000001E-2</v>
      </c>
      <c r="I49" s="389">
        <v>1.24E-2</v>
      </c>
      <c r="J49" s="393">
        <v>0.14799999999999999</v>
      </c>
      <c r="K49" s="390">
        <v>5.6899999999999999E-2</v>
      </c>
      <c r="L49" s="238"/>
      <c r="M49" s="231"/>
      <c r="N49" s="235"/>
      <c r="O49" s="248"/>
      <c r="P49" s="247">
        <v>44</v>
      </c>
      <c r="Q49" s="408">
        <v>0.38729999999999998</v>
      </c>
      <c r="R49" s="409">
        <v>1242.9105</v>
      </c>
      <c r="S49" s="406">
        <v>0.55389999999999995</v>
      </c>
      <c r="T49" s="406">
        <v>4.5999999999999999E-3</v>
      </c>
      <c r="U49" s="406">
        <v>1.17E-2</v>
      </c>
      <c r="V49" s="410">
        <v>4.2799999999999998E-2</v>
      </c>
      <c r="W49" s="407">
        <v>4.4000000000000003E-3</v>
      </c>
      <c r="X49" s="238"/>
      <c r="AA49" s="252">
        <v>2056</v>
      </c>
      <c r="AB49" s="251">
        <f t="shared" si="93"/>
        <v>0.25729999999999997</v>
      </c>
      <c r="AC49" s="251">
        <f t="shared" si="94"/>
        <v>1134.5664999999999</v>
      </c>
      <c r="AD49" s="251">
        <f t="shared" si="95"/>
        <v>0.40820000000000001</v>
      </c>
      <c r="AE49" s="251">
        <f t="shared" si="96"/>
        <v>4.4000000000000003E-3</v>
      </c>
      <c r="AF49" s="251">
        <f t="shared" si="97"/>
        <v>1.0800000000000001E-2</v>
      </c>
      <c r="AG49" s="251">
        <f t="shared" si="98"/>
        <v>2.8799999999999999E-2</v>
      </c>
      <c r="AH49" s="255">
        <f t="shared" si="98"/>
        <v>4.1999999999999997E-3</v>
      </c>
      <c r="AJ49" s="252">
        <v>2056</v>
      </c>
      <c r="AK49" s="251">
        <f t="shared" si="99"/>
        <v>0.2288</v>
      </c>
      <c r="AL49" s="251">
        <f t="shared" si="68"/>
        <v>1140.6396</v>
      </c>
      <c r="AM49" s="251">
        <f t="shared" si="69"/>
        <v>0.36480000000000001</v>
      </c>
      <c r="AN49" s="251">
        <f t="shared" si="70"/>
        <v>4.1999999999999997E-3</v>
      </c>
      <c r="AO49" s="251">
        <f t="shared" si="71"/>
        <v>1.09E-2</v>
      </c>
      <c r="AP49" s="251">
        <f t="shared" si="72"/>
        <v>2.5000000000000001E-2</v>
      </c>
      <c r="AQ49" s="255">
        <f t="shared" si="72"/>
        <v>4.0000000000000001E-3</v>
      </c>
      <c r="AS49" s="252">
        <v>2056</v>
      </c>
      <c r="AT49" s="251">
        <f t="shared" si="100"/>
        <v>0.17330000000000001</v>
      </c>
      <c r="AU49" s="251">
        <f t="shared" si="73"/>
        <v>1081.3968</v>
      </c>
      <c r="AV49" s="251">
        <f t="shared" si="74"/>
        <v>0.29389999999999999</v>
      </c>
      <c r="AW49" s="251">
        <f t="shared" si="75"/>
        <v>3.8999999999999998E-3</v>
      </c>
      <c r="AX49" s="251">
        <f t="shared" si="76"/>
        <v>1.03E-2</v>
      </c>
      <c r="AY49" s="251">
        <f t="shared" si="77"/>
        <v>1.9699999999999999E-2</v>
      </c>
      <c r="AZ49" s="255">
        <f t="shared" si="77"/>
        <v>3.7000000000000002E-3</v>
      </c>
      <c r="BB49" s="252">
        <v>2056</v>
      </c>
      <c r="BC49" s="251">
        <f t="shared" si="101"/>
        <v>0.16819999999999999</v>
      </c>
      <c r="BD49" s="251">
        <f t="shared" si="78"/>
        <v>1074.3117</v>
      </c>
      <c r="BE49" s="251">
        <f t="shared" si="79"/>
        <v>0.28949999999999998</v>
      </c>
      <c r="BF49" s="251">
        <f t="shared" si="80"/>
        <v>4.0000000000000001E-3</v>
      </c>
      <c r="BG49" s="251">
        <f t="shared" si="81"/>
        <v>1.03E-2</v>
      </c>
      <c r="BH49" s="251">
        <f t="shared" si="82"/>
        <v>1.9599999999999999E-2</v>
      </c>
      <c r="BI49" s="255">
        <f t="shared" si="82"/>
        <v>3.8E-3</v>
      </c>
      <c r="BK49" s="252">
        <v>2056</v>
      </c>
      <c r="BL49" s="251">
        <f t="shared" si="102"/>
        <v>0.1721</v>
      </c>
      <c r="BM49" s="251">
        <f t="shared" si="83"/>
        <v>1138.0163</v>
      </c>
      <c r="BN49" s="251">
        <f t="shared" si="84"/>
        <v>0.31830000000000003</v>
      </c>
      <c r="BO49" s="251">
        <f t="shared" si="85"/>
        <v>4.3E-3</v>
      </c>
      <c r="BP49" s="251">
        <f t="shared" si="86"/>
        <v>1.09E-2</v>
      </c>
      <c r="BQ49" s="251">
        <f t="shared" si="87"/>
        <v>2.1999999999999999E-2</v>
      </c>
      <c r="BR49" s="255">
        <f t="shared" si="87"/>
        <v>4.1000000000000003E-3</v>
      </c>
      <c r="BT49" s="252">
        <v>2056</v>
      </c>
      <c r="BU49" s="251">
        <f t="shared" si="103"/>
        <v>0.17019999999999999</v>
      </c>
      <c r="BV49" s="251">
        <f t="shared" si="88"/>
        <v>1155.1352999999999</v>
      </c>
      <c r="BW49" s="251">
        <f t="shared" si="89"/>
        <v>0.3231</v>
      </c>
      <c r="BX49" s="251">
        <f t="shared" si="90"/>
        <v>4.3E-3</v>
      </c>
      <c r="BY49" s="251">
        <f t="shared" si="91"/>
        <v>1.0999999999999999E-2</v>
      </c>
      <c r="BZ49" s="251">
        <f t="shared" si="92"/>
        <v>2.24E-2</v>
      </c>
      <c r="CA49" s="255">
        <f t="shared" si="92"/>
        <v>4.1000000000000003E-3</v>
      </c>
    </row>
    <row r="50" spans="2:79" x14ac:dyDescent="0.25">
      <c r="B50" s="235"/>
      <c r="C50" s="247"/>
      <c r="D50" s="247">
        <v>45</v>
      </c>
      <c r="E50" s="391">
        <v>0.99580000000000002</v>
      </c>
      <c r="F50" s="392">
        <v>1301.3159000000001</v>
      </c>
      <c r="G50" s="389">
        <v>4.4588999999999999</v>
      </c>
      <c r="H50" s="389">
        <v>5.9299999999999999E-2</v>
      </c>
      <c r="I50" s="389">
        <v>1.24E-2</v>
      </c>
      <c r="J50" s="393">
        <v>0.14280000000000001</v>
      </c>
      <c r="K50" s="390">
        <v>5.67E-2</v>
      </c>
      <c r="L50" s="238"/>
      <c r="M50" s="231"/>
      <c r="N50" s="235"/>
      <c r="O50" s="248"/>
      <c r="P50" s="247">
        <v>45</v>
      </c>
      <c r="Q50" s="408">
        <v>0.36599999999999999</v>
      </c>
      <c r="R50" s="409">
        <v>1239.3746000000001</v>
      </c>
      <c r="S50" s="406">
        <v>0.52829999999999999</v>
      </c>
      <c r="T50" s="406">
        <v>4.4999999999999997E-3</v>
      </c>
      <c r="U50" s="406">
        <v>1.17E-2</v>
      </c>
      <c r="V50" s="410">
        <v>4.0599999999999997E-2</v>
      </c>
      <c r="W50" s="407">
        <v>4.3E-3</v>
      </c>
      <c r="X50" s="238"/>
      <c r="AA50" s="252">
        <v>2057</v>
      </c>
      <c r="AB50" s="251">
        <f t="shared" si="93"/>
        <v>0.25729999999999997</v>
      </c>
      <c r="AC50" s="251">
        <f t="shared" si="94"/>
        <v>1134.5664999999999</v>
      </c>
      <c r="AD50" s="251">
        <f t="shared" si="95"/>
        <v>0.40820000000000001</v>
      </c>
      <c r="AE50" s="251">
        <f t="shared" si="96"/>
        <v>4.4000000000000003E-3</v>
      </c>
      <c r="AF50" s="251">
        <f t="shared" si="97"/>
        <v>1.0800000000000001E-2</v>
      </c>
      <c r="AG50" s="251">
        <f t="shared" si="98"/>
        <v>2.8799999999999999E-2</v>
      </c>
      <c r="AH50" s="255">
        <f t="shared" si="98"/>
        <v>4.1999999999999997E-3</v>
      </c>
      <c r="AJ50" s="252">
        <v>2057</v>
      </c>
      <c r="AK50" s="251">
        <f t="shared" si="99"/>
        <v>0.2288</v>
      </c>
      <c r="AL50" s="251">
        <f t="shared" si="68"/>
        <v>1140.6396</v>
      </c>
      <c r="AM50" s="251">
        <f t="shared" si="69"/>
        <v>0.36480000000000001</v>
      </c>
      <c r="AN50" s="251">
        <f t="shared" si="70"/>
        <v>4.1999999999999997E-3</v>
      </c>
      <c r="AO50" s="251">
        <f t="shared" si="71"/>
        <v>1.09E-2</v>
      </c>
      <c r="AP50" s="251">
        <f t="shared" si="72"/>
        <v>2.5000000000000001E-2</v>
      </c>
      <c r="AQ50" s="255">
        <f t="shared" si="72"/>
        <v>4.0000000000000001E-3</v>
      </c>
      <c r="AS50" s="252">
        <v>2057</v>
      </c>
      <c r="AT50" s="251">
        <f t="shared" si="100"/>
        <v>0.17330000000000001</v>
      </c>
      <c r="AU50" s="251">
        <f t="shared" si="73"/>
        <v>1081.3968</v>
      </c>
      <c r="AV50" s="251">
        <f t="shared" si="74"/>
        <v>0.29389999999999999</v>
      </c>
      <c r="AW50" s="251">
        <f t="shared" si="75"/>
        <v>3.8999999999999998E-3</v>
      </c>
      <c r="AX50" s="251">
        <f t="shared" si="76"/>
        <v>1.03E-2</v>
      </c>
      <c r="AY50" s="251">
        <f t="shared" si="77"/>
        <v>1.9699999999999999E-2</v>
      </c>
      <c r="AZ50" s="255">
        <f t="shared" si="77"/>
        <v>3.7000000000000002E-3</v>
      </c>
      <c r="BB50" s="252">
        <v>2057</v>
      </c>
      <c r="BC50" s="251">
        <f t="shared" si="101"/>
        <v>0.16819999999999999</v>
      </c>
      <c r="BD50" s="251">
        <f t="shared" si="78"/>
        <v>1074.3117</v>
      </c>
      <c r="BE50" s="251">
        <f t="shared" si="79"/>
        <v>0.28949999999999998</v>
      </c>
      <c r="BF50" s="251">
        <f t="shared" si="80"/>
        <v>4.0000000000000001E-3</v>
      </c>
      <c r="BG50" s="251">
        <f t="shared" si="81"/>
        <v>1.03E-2</v>
      </c>
      <c r="BH50" s="251">
        <f t="shared" si="82"/>
        <v>1.9599999999999999E-2</v>
      </c>
      <c r="BI50" s="255">
        <f t="shared" si="82"/>
        <v>3.8E-3</v>
      </c>
      <c r="BK50" s="252">
        <v>2057</v>
      </c>
      <c r="BL50" s="251">
        <f t="shared" si="102"/>
        <v>0.1721</v>
      </c>
      <c r="BM50" s="251">
        <f t="shared" si="83"/>
        <v>1138.0163</v>
      </c>
      <c r="BN50" s="251">
        <f t="shared" si="84"/>
        <v>0.31830000000000003</v>
      </c>
      <c r="BO50" s="251">
        <f t="shared" si="85"/>
        <v>4.3E-3</v>
      </c>
      <c r="BP50" s="251">
        <f t="shared" si="86"/>
        <v>1.09E-2</v>
      </c>
      <c r="BQ50" s="251">
        <f t="shared" si="87"/>
        <v>2.1999999999999999E-2</v>
      </c>
      <c r="BR50" s="255">
        <f t="shared" si="87"/>
        <v>4.1000000000000003E-3</v>
      </c>
      <c r="BT50" s="252">
        <v>2057</v>
      </c>
      <c r="BU50" s="251">
        <f t="shared" si="103"/>
        <v>0.17019999999999999</v>
      </c>
      <c r="BV50" s="251">
        <f t="shared" si="88"/>
        <v>1155.1352999999999</v>
      </c>
      <c r="BW50" s="251">
        <f t="shared" si="89"/>
        <v>0.3231</v>
      </c>
      <c r="BX50" s="251">
        <f t="shared" si="90"/>
        <v>4.3E-3</v>
      </c>
      <c r="BY50" s="251">
        <f t="shared" si="91"/>
        <v>1.0999999999999999E-2</v>
      </c>
      <c r="BZ50" s="251">
        <f t="shared" si="92"/>
        <v>2.24E-2</v>
      </c>
      <c r="CA50" s="255">
        <f t="shared" si="92"/>
        <v>4.1000000000000003E-3</v>
      </c>
    </row>
    <row r="51" spans="2:79" x14ac:dyDescent="0.25">
      <c r="B51" s="235"/>
      <c r="C51" s="247"/>
      <c r="D51" s="247">
        <v>46</v>
      </c>
      <c r="E51" s="391">
        <v>0.99270000000000003</v>
      </c>
      <c r="F51" s="392">
        <v>1264.4186999999999</v>
      </c>
      <c r="G51" s="389">
        <v>4.3776999999999999</v>
      </c>
      <c r="H51" s="389">
        <v>5.8200000000000002E-2</v>
      </c>
      <c r="I51" s="389">
        <v>1.2E-2</v>
      </c>
      <c r="J51" s="393">
        <v>0.1381</v>
      </c>
      <c r="K51" s="390">
        <v>5.5599999999999997E-2</v>
      </c>
      <c r="L51" s="238"/>
      <c r="M51" s="231"/>
      <c r="N51" s="235"/>
      <c r="O51" s="248"/>
      <c r="P51" s="247">
        <v>46</v>
      </c>
      <c r="Q51" s="408">
        <v>0.34620000000000001</v>
      </c>
      <c r="R51" s="409">
        <v>1218.0081</v>
      </c>
      <c r="S51" s="406">
        <v>0.50719999999999998</v>
      </c>
      <c r="T51" s="406">
        <v>4.4999999999999997E-3</v>
      </c>
      <c r="U51" s="406">
        <v>1.15E-2</v>
      </c>
      <c r="V51" s="410">
        <v>3.85E-2</v>
      </c>
      <c r="W51" s="407">
        <v>4.3E-3</v>
      </c>
      <c r="X51" s="238"/>
      <c r="AA51" s="252">
        <v>2058</v>
      </c>
      <c r="AB51" s="251">
        <f t="shared" si="93"/>
        <v>0.25729999999999997</v>
      </c>
      <c r="AC51" s="251">
        <f t="shared" si="94"/>
        <v>1134.5664999999999</v>
      </c>
      <c r="AD51" s="251">
        <f t="shared" si="95"/>
        <v>0.40820000000000001</v>
      </c>
      <c r="AE51" s="251">
        <f t="shared" si="96"/>
        <v>4.4000000000000003E-3</v>
      </c>
      <c r="AF51" s="251">
        <f t="shared" si="97"/>
        <v>1.0800000000000001E-2</v>
      </c>
      <c r="AG51" s="251">
        <f t="shared" si="98"/>
        <v>2.8799999999999999E-2</v>
      </c>
      <c r="AH51" s="255">
        <f t="shared" si="98"/>
        <v>4.1999999999999997E-3</v>
      </c>
      <c r="AJ51" s="252">
        <v>2058</v>
      </c>
      <c r="AK51" s="251">
        <f t="shared" si="99"/>
        <v>0.2288</v>
      </c>
      <c r="AL51" s="251">
        <f t="shared" si="68"/>
        <v>1140.6396</v>
      </c>
      <c r="AM51" s="251">
        <f t="shared" si="69"/>
        <v>0.36480000000000001</v>
      </c>
      <c r="AN51" s="251">
        <f t="shared" si="70"/>
        <v>4.1999999999999997E-3</v>
      </c>
      <c r="AO51" s="251">
        <f t="shared" si="71"/>
        <v>1.09E-2</v>
      </c>
      <c r="AP51" s="251">
        <f t="shared" si="72"/>
        <v>2.5000000000000001E-2</v>
      </c>
      <c r="AQ51" s="255">
        <f t="shared" si="72"/>
        <v>4.0000000000000001E-3</v>
      </c>
      <c r="AS51" s="252">
        <v>2058</v>
      </c>
      <c r="AT51" s="251">
        <f t="shared" si="100"/>
        <v>0.17330000000000001</v>
      </c>
      <c r="AU51" s="251">
        <f t="shared" si="73"/>
        <v>1081.3968</v>
      </c>
      <c r="AV51" s="251">
        <f t="shared" si="74"/>
        <v>0.29389999999999999</v>
      </c>
      <c r="AW51" s="251">
        <f t="shared" si="75"/>
        <v>3.8999999999999998E-3</v>
      </c>
      <c r="AX51" s="251">
        <f t="shared" si="76"/>
        <v>1.03E-2</v>
      </c>
      <c r="AY51" s="251">
        <f t="shared" si="77"/>
        <v>1.9699999999999999E-2</v>
      </c>
      <c r="AZ51" s="255">
        <f t="shared" si="77"/>
        <v>3.7000000000000002E-3</v>
      </c>
      <c r="BB51" s="252">
        <v>2058</v>
      </c>
      <c r="BC51" s="251">
        <f t="shared" si="101"/>
        <v>0.16819999999999999</v>
      </c>
      <c r="BD51" s="251">
        <f t="shared" si="78"/>
        <v>1074.3117</v>
      </c>
      <c r="BE51" s="251">
        <f t="shared" si="79"/>
        <v>0.28949999999999998</v>
      </c>
      <c r="BF51" s="251">
        <f t="shared" si="80"/>
        <v>4.0000000000000001E-3</v>
      </c>
      <c r="BG51" s="251">
        <f t="shared" si="81"/>
        <v>1.03E-2</v>
      </c>
      <c r="BH51" s="251">
        <f t="shared" si="82"/>
        <v>1.9599999999999999E-2</v>
      </c>
      <c r="BI51" s="255">
        <f t="shared" si="82"/>
        <v>3.8E-3</v>
      </c>
      <c r="BK51" s="252">
        <v>2058</v>
      </c>
      <c r="BL51" s="251">
        <f t="shared" si="102"/>
        <v>0.1721</v>
      </c>
      <c r="BM51" s="251">
        <f t="shared" si="83"/>
        <v>1138.0163</v>
      </c>
      <c r="BN51" s="251">
        <f t="shared" si="84"/>
        <v>0.31830000000000003</v>
      </c>
      <c r="BO51" s="251">
        <f t="shared" si="85"/>
        <v>4.3E-3</v>
      </c>
      <c r="BP51" s="251">
        <f t="shared" si="86"/>
        <v>1.09E-2</v>
      </c>
      <c r="BQ51" s="251">
        <f t="shared" si="87"/>
        <v>2.1999999999999999E-2</v>
      </c>
      <c r="BR51" s="255">
        <f t="shared" si="87"/>
        <v>4.1000000000000003E-3</v>
      </c>
      <c r="BT51" s="252">
        <v>2058</v>
      </c>
      <c r="BU51" s="251">
        <f t="shared" si="103"/>
        <v>0.17019999999999999</v>
      </c>
      <c r="BV51" s="251">
        <f t="shared" si="88"/>
        <v>1155.1352999999999</v>
      </c>
      <c r="BW51" s="251">
        <f t="shared" si="89"/>
        <v>0.3231</v>
      </c>
      <c r="BX51" s="251">
        <f t="shared" si="90"/>
        <v>4.3E-3</v>
      </c>
      <c r="BY51" s="251">
        <f t="shared" si="91"/>
        <v>1.0999999999999999E-2</v>
      </c>
      <c r="BZ51" s="251">
        <f t="shared" si="92"/>
        <v>2.24E-2</v>
      </c>
      <c r="CA51" s="255">
        <f t="shared" si="92"/>
        <v>4.1000000000000003E-3</v>
      </c>
    </row>
    <row r="52" spans="2:79" x14ac:dyDescent="0.25">
      <c r="B52" s="235"/>
      <c r="C52" s="247"/>
      <c r="D52" s="247">
        <v>47</v>
      </c>
      <c r="E52" s="391">
        <v>0.98970000000000002</v>
      </c>
      <c r="F52" s="392">
        <v>1227.5215000000001</v>
      </c>
      <c r="G52" s="389">
        <v>4.2964000000000002</v>
      </c>
      <c r="H52" s="389">
        <v>5.7000000000000002E-2</v>
      </c>
      <c r="I52" s="389">
        <v>1.17E-2</v>
      </c>
      <c r="J52" s="393">
        <v>0.13339999999999999</v>
      </c>
      <c r="K52" s="390">
        <v>5.45E-2</v>
      </c>
      <c r="L52" s="238"/>
      <c r="M52" s="231"/>
      <c r="N52" s="235"/>
      <c r="O52" s="248"/>
      <c r="P52" s="247">
        <v>47</v>
      </c>
      <c r="Q52" s="408">
        <v>0.32629999999999998</v>
      </c>
      <c r="R52" s="409">
        <v>1196.6415999999999</v>
      </c>
      <c r="S52" s="406">
        <v>0.48609999999999998</v>
      </c>
      <c r="T52" s="406">
        <v>4.4999999999999997E-3</v>
      </c>
      <c r="U52" s="406">
        <v>1.1299999999999999E-2</v>
      </c>
      <c r="V52" s="410">
        <v>3.6400000000000002E-2</v>
      </c>
      <c r="W52" s="407">
        <v>4.3E-3</v>
      </c>
      <c r="X52" s="238"/>
      <c r="AA52" s="252">
        <v>2059</v>
      </c>
      <c r="AB52" s="251">
        <f t="shared" si="93"/>
        <v>0.25729999999999997</v>
      </c>
      <c r="AC52" s="251">
        <f t="shared" si="94"/>
        <v>1134.5664999999999</v>
      </c>
      <c r="AD52" s="251">
        <f t="shared" si="95"/>
        <v>0.40820000000000001</v>
      </c>
      <c r="AE52" s="251">
        <f t="shared" si="96"/>
        <v>4.4000000000000003E-3</v>
      </c>
      <c r="AF52" s="251">
        <f t="shared" si="97"/>
        <v>1.0800000000000001E-2</v>
      </c>
      <c r="AG52" s="251">
        <f t="shared" si="98"/>
        <v>2.8799999999999999E-2</v>
      </c>
      <c r="AH52" s="255">
        <f t="shared" si="98"/>
        <v>4.1999999999999997E-3</v>
      </c>
      <c r="AJ52" s="252">
        <v>2059</v>
      </c>
      <c r="AK52" s="251">
        <f t="shared" si="99"/>
        <v>0.2288</v>
      </c>
      <c r="AL52" s="251">
        <f t="shared" si="68"/>
        <v>1140.6396</v>
      </c>
      <c r="AM52" s="251">
        <f t="shared" si="69"/>
        <v>0.36480000000000001</v>
      </c>
      <c r="AN52" s="251">
        <f t="shared" si="70"/>
        <v>4.1999999999999997E-3</v>
      </c>
      <c r="AO52" s="251">
        <f t="shared" si="71"/>
        <v>1.09E-2</v>
      </c>
      <c r="AP52" s="251">
        <f t="shared" si="72"/>
        <v>2.5000000000000001E-2</v>
      </c>
      <c r="AQ52" s="255">
        <f t="shared" si="72"/>
        <v>4.0000000000000001E-3</v>
      </c>
      <c r="AS52" s="252">
        <v>2059</v>
      </c>
      <c r="AT52" s="251">
        <f t="shared" si="100"/>
        <v>0.17330000000000001</v>
      </c>
      <c r="AU52" s="251">
        <f t="shared" si="73"/>
        <v>1081.3968</v>
      </c>
      <c r="AV52" s="251">
        <f t="shared" si="74"/>
        <v>0.29389999999999999</v>
      </c>
      <c r="AW52" s="251">
        <f t="shared" si="75"/>
        <v>3.8999999999999998E-3</v>
      </c>
      <c r="AX52" s="251">
        <f t="shared" si="76"/>
        <v>1.03E-2</v>
      </c>
      <c r="AY52" s="251">
        <f t="shared" si="77"/>
        <v>1.9699999999999999E-2</v>
      </c>
      <c r="AZ52" s="255">
        <f t="shared" si="77"/>
        <v>3.7000000000000002E-3</v>
      </c>
      <c r="BB52" s="252">
        <v>2059</v>
      </c>
      <c r="BC52" s="251">
        <f t="shared" si="101"/>
        <v>0.16819999999999999</v>
      </c>
      <c r="BD52" s="251">
        <f t="shared" si="78"/>
        <v>1074.3117</v>
      </c>
      <c r="BE52" s="251">
        <f t="shared" si="79"/>
        <v>0.28949999999999998</v>
      </c>
      <c r="BF52" s="251">
        <f t="shared" si="80"/>
        <v>4.0000000000000001E-3</v>
      </c>
      <c r="BG52" s="251">
        <f t="shared" si="81"/>
        <v>1.03E-2</v>
      </c>
      <c r="BH52" s="251">
        <f t="shared" si="82"/>
        <v>1.9599999999999999E-2</v>
      </c>
      <c r="BI52" s="255">
        <f t="shared" si="82"/>
        <v>3.8E-3</v>
      </c>
      <c r="BK52" s="252">
        <v>2059</v>
      </c>
      <c r="BL52" s="251">
        <f t="shared" si="102"/>
        <v>0.1721</v>
      </c>
      <c r="BM52" s="251">
        <f t="shared" si="83"/>
        <v>1138.0163</v>
      </c>
      <c r="BN52" s="251">
        <f t="shared" si="84"/>
        <v>0.31830000000000003</v>
      </c>
      <c r="BO52" s="251">
        <f t="shared" si="85"/>
        <v>4.3E-3</v>
      </c>
      <c r="BP52" s="251">
        <f t="shared" si="86"/>
        <v>1.09E-2</v>
      </c>
      <c r="BQ52" s="251">
        <f t="shared" si="87"/>
        <v>2.1999999999999999E-2</v>
      </c>
      <c r="BR52" s="255">
        <f t="shared" si="87"/>
        <v>4.1000000000000003E-3</v>
      </c>
      <c r="BT52" s="252">
        <v>2059</v>
      </c>
      <c r="BU52" s="251">
        <f t="shared" si="103"/>
        <v>0.17019999999999999</v>
      </c>
      <c r="BV52" s="251">
        <f t="shared" si="88"/>
        <v>1155.1352999999999</v>
      </c>
      <c r="BW52" s="251">
        <f t="shared" si="89"/>
        <v>0.3231</v>
      </c>
      <c r="BX52" s="251">
        <f t="shared" si="90"/>
        <v>4.3E-3</v>
      </c>
      <c r="BY52" s="251">
        <f t="shared" si="91"/>
        <v>1.0999999999999999E-2</v>
      </c>
      <c r="BZ52" s="251">
        <f t="shared" si="92"/>
        <v>2.24E-2</v>
      </c>
      <c r="CA52" s="255">
        <f t="shared" si="92"/>
        <v>4.1000000000000003E-3</v>
      </c>
    </row>
    <row r="53" spans="2:79" x14ac:dyDescent="0.25">
      <c r="B53" s="235"/>
      <c r="C53" s="247"/>
      <c r="D53" s="247">
        <v>48</v>
      </c>
      <c r="E53" s="391">
        <v>0.98660000000000003</v>
      </c>
      <c r="F53" s="392">
        <v>1190.6242999999999</v>
      </c>
      <c r="G53" s="389">
        <v>4.2152000000000003</v>
      </c>
      <c r="H53" s="389">
        <v>5.5899999999999998E-2</v>
      </c>
      <c r="I53" s="389">
        <v>1.14E-2</v>
      </c>
      <c r="J53" s="393">
        <v>0.12870000000000001</v>
      </c>
      <c r="K53" s="390">
        <v>5.3400000000000003E-2</v>
      </c>
      <c r="L53" s="238"/>
      <c r="M53" s="231"/>
      <c r="N53" s="235"/>
      <c r="O53" s="248"/>
      <c r="P53" s="247">
        <v>48</v>
      </c>
      <c r="Q53" s="408">
        <v>0.30649999999999999</v>
      </c>
      <c r="R53" s="409">
        <v>1175.2751000000001</v>
      </c>
      <c r="S53" s="406">
        <v>0.46489999999999998</v>
      </c>
      <c r="T53" s="406">
        <v>4.4999999999999997E-3</v>
      </c>
      <c r="U53" s="406">
        <v>1.11E-2</v>
      </c>
      <c r="V53" s="410">
        <v>3.4299999999999997E-2</v>
      </c>
      <c r="W53" s="407">
        <v>4.3E-3</v>
      </c>
      <c r="X53" s="238"/>
      <c r="AA53" s="256">
        <v>2060</v>
      </c>
      <c r="AB53" s="257">
        <f t="shared" si="93"/>
        <v>0.25729999999999997</v>
      </c>
      <c r="AC53" s="257">
        <f t="shared" si="94"/>
        <v>1134.5664999999999</v>
      </c>
      <c r="AD53" s="257">
        <f t="shared" si="95"/>
        <v>0.40820000000000001</v>
      </c>
      <c r="AE53" s="257">
        <f t="shared" si="96"/>
        <v>4.4000000000000003E-3</v>
      </c>
      <c r="AF53" s="257">
        <f t="shared" si="97"/>
        <v>1.0800000000000001E-2</v>
      </c>
      <c r="AG53" s="257">
        <f t="shared" si="98"/>
        <v>2.8799999999999999E-2</v>
      </c>
      <c r="AH53" s="258">
        <f t="shared" si="98"/>
        <v>4.1999999999999997E-3</v>
      </c>
      <c r="AJ53" s="256">
        <v>2060</v>
      </c>
      <c r="AK53" s="257">
        <f t="shared" si="99"/>
        <v>0.2288</v>
      </c>
      <c r="AL53" s="257">
        <f t="shared" si="68"/>
        <v>1140.6396</v>
      </c>
      <c r="AM53" s="257">
        <f t="shared" si="69"/>
        <v>0.36480000000000001</v>
      </c>
      <c r="AN53" s="257">
        <f t="shared" si="70"/>
        <v>4.1999999999999997E-3</v>
      </c>
      <c r="AO53" s="257">
        <f t="shared" si="71"/>
        <v>1.09E-2</v>
      </c>
      <c r="AP53" s="257">
        <f t="shared" si="72"/>
        <v>2.5000000000000001E-2</v>
      </c>
      <c r="AQ53" s="258">
        <f t="shared" si="72"/>
        <v>4.0000000000000001E-3</v>
      </c>
      <c r="AS53" s="256">
        <v>2060</v>
      </c>
      <c r="AT53" s="257">
        <f t="shared" si="100"/>
        <v>0.17330000000000001</v>
      </c>
      <c r="AU53" s="257">
        <f t="shared" si="73"/>
        <v>1081.3968</v>
      </c>
      <c r="AV53" s="257">
        <f t="shared" si="74"/>
        <v>0.29389999999999999</v>
      </c>
      <c r="AW53" s="257">
        <f t="shared" si="75"/>
        <v>3.8999999999999998E-3</v>
      </c>
      <c r="AX53" s="257">
        <f t="shared" si="76"/>
        <v>1.03E-2</v>
      </c>
      <c r="AY53" s="257">
        <f t="shared" si="77"/>
        <v>1.9699999999999999E-2</v>
      </c>
      <c r="AZ53" s="258">
        <f t="shared" si="77"/>
        <v>3.7000000000000002E-3</v>
      </c>
      <c r="BB53" s="256">
        <v>2060</v>
      </c>
      <c r="BC53" s="257">
        <f t="shared" si="101"/>
        <v>0.16819999999999999</v>
      </c>
      <c r="BD53" s="257">
        <f t="shared" si="78"/>
        <v>1074.3117</v>
      </c>
      <c r="BE53" s="257">
        <f t="shared" si="79"/>
        <v>0.28949999999999998</v>
      </c>
      <c r="BF53" s="257">
        <f t="shared" si="80"/>
        <v>4.0000000000000001E-3</v>
      </c>
      <c r="BG53" s="257">
        <f t="shared" si="81"/>
        <v>1.03E-2</v>
      </c>
      <c r="BH53" s="257">
        <f t="shared" si="82"/>
        <v>1.9599999999999999E-2</v>
      </c>
      <c r="BI53" s="258">
        <f t="shared" si="82"/>
        <v>3.8E-3</v>
      </c>
      <c r="BK53" s="256">
        <v>2060</v>
      </c>
      <c r="BL53" s="257">
        <f t="shared" si="102"/>
        <v>0.1721</v>
      </c>
      <c r="BM53" s="257">
        <f t="shared" si="83"/>
        <v>1138.0163</v>
      </c>
      <c r="BN53" s="257">
        <f t="shared" si="84"/>
        <v>0.31830000000000003</v>
      </c>
      <c r="BO53" s="257">
        <f t="shared" si="85"/>
        <v>4.3E-3</v>
      </c>
      <c r="BP53" s="257">
        <f t="shared" si="86"/>
        <v>1.09E-2</v>
      </c>
      <c r="BQ53" s="257">
        <f t="shared" si="87"/>
        <v>2.1999999999999999E-2</v>
      </c>
      <c r="BR53" s="258">
        <f t="shared" si="87"/>
        <v>4.1000000000000003E-3</v>
      </c>
      <c r="BT53" s="256">
        <v>2060</v>
      </c>
      <c r="BU53" s="257">
        <f t="shared" si="103"/>
        <v>0.17019999999999999</v>
      </c>
      <c r="BV53" s="257">
        <f t="shared" si="88"/>
        <v>1155.1352999999999</v>
      </c>
      <c r="BW53" s="257">
        <f t="shared" si="89"/>
        <v>0.3231</v>
      </c>
      <c r="BX53" s="257">
        <f t="shared" si="90"/>
        <v>4.3E-3</v>
      </c>
      <c r="BY53" s="257">
        <f t="shared" si="91"/>
        <v>1.0999999999999999E-2</v>
      </c>
      <c r="BZ53" s="257">
        <f t="shared" si="92"/>
        <v>2.24E-2</v>
      </c>
      <c r="CA53" s="258">
        <f t="shared" si="92"/>
        <v>4.1000000000000003E-3</v>
      </c>
    </row>
    <row r="54" spans="2:79" x14ac:dyDescent="0.25">
      <c r="B54" s="235"/>
      <c r="C54" s="247"/>
      <c r="D54" s="247">
        <v>49</v>
      </c>
      <c r="E54" s="391">
        <v>0.98360000000000003</v>
      </c>
      <c r="F54" s="392">
        <v>1153.7271000000001</v>
      </c>
      <c r="G54" s="389">
        <v>4.1340000000000003</v>
      </c>
      <c r="H54" s="389">
        <v>5.4699999999999999E-2</v>
      </c>
      <c r="I54" s="389">
        <v>1.0999999999999999E-2</v>
      </c>
      <c r="J54" s="393">
        <v>0.124</v>
      </c>
      <c r="K54" s="390">
        <v>5.2299999999999999E-2</v>
      </c>
      <c r="L54" s="238"/>
      <c r="M54" s="231"/>
      <c r="N54" s="235"/>
      <c r="O54" s="248"/>
      <c r="P54" s="247">
        <v>49</v>
      </c>
      <c r="Q54" s="408">
        <v>0.28660000000000002</v>
      </c>
      <c r="R54" s="409">
        <v>1153.9086</v>
      </c>
      <c r="S54" s="406">
        <v>0.44379999999999997</v>
      </c>
      <c r="T54" s="406">
        <v>4.4000000000000003E-3</v>
      </c>
      <c r="U54" s="406">
        <v>1.0999999999999999E-2</v>
      </c>
      <c r="V54" s="410">
        <v>3.2199999999999999E-2</v>
      </c>
      <c r="W54" s="407">
        <v>4.1999999999999997E-3</v>
      </c>
      <c r="X54" s="238"/>
      <c r="AA54" s="3" t="s">
        <v>79</v>
      </c>
      <c r="AB54" s="223">
        <f>(AB29/AB9)^(1/($AA$29-$AA$9))-1</f>
        <v>-6.3543215089285066E-2</v>
      </c>
      <c r="AC54" s="259">
        <f t="shared" ref="AC54:AH54" si="104">(AC29/AC9)^(1/($AA$29-$AA$9))-1</f>
        <v>6.7368497471909095E-5</v>
      </c>
      <c r="AD54" s="223">
        <f t="shared" si="104"/>
        <v>-0.1089983240475414</v>
      </c>
      <c r="AE54" s="223">
        <f t="shared" si="104"/>
        <v>-0.11982260347133</v>
      </c>
      <c r="AF54" s="259">
        <f t="shared" si="104"/>
        <v>-4.6072658814111378E-4</v>
      </c>
      <c r="AG54" s="223">
        <f t="shared" si="104"/>
        <v>-6.8479801468477319E-2</v>
      </c>
      <c r="AH54" s="223">
        <f t="shared" si="104"/>
        <v>-0.11995961720953285</v>
      </c>
      <c r="AJ54" s="3" t="s">
        <v>79</v>
      </c>
      <c r="AK54" s="223">
        <f>(AK29/AK9)^(1/($AJ$29-$AJ$9))-1</f>
        <v>-6.535803774096316E-2</v>
      </c>
      <c r="AL54" s="223">
        <f t="shared" ref="AL54:AP54" si="105">(AL29/AL9)^(1/($AJ$29-$AJ$9))-1</f>
        <v>-1.7652433623480679E-3</v>
      </c>
      <c r="AM54" s="223">
        <f t="shared" si="105"/>
        <v>-0.11564392242846744</v>
      </c>
      <c r="AN54" s="223">
        <f t="shared" si="105"/>
        <v>-0.12826681871302648</v>
      </c>
      <c r="AO54" s="223">
        <f t="shared" si="105"/>
        <v>-1.8003742026819758E-3</v>
      </c>
      <c r="AP54" s="223">
        <f t="shared" si="105"/>
        <v>-7.4735016647873964E-2</v>
      </c>
      <c r="AQ54" s="223">
        <f t="shared" ref="AQ54" si="106">(AQ29/AQ9)^(1/($AJ$29-$AJ$9))-1</f>
        <v>-0.12848617077772351</v>
      </c>
      <c r="AS54" s="3" t="s">
        <v>79</v>
      </c>
      <c r="AT54" s="223">
        <f>(AT29/AT9)^(1/($AS$29-$AS$9))-1</f>
        <v>-7.7653314897176196E-2</v>
      </c>
      <c r="AU54" s="223">
        <f t="shared" ref="AU54:AY54" si="107">(AU29/AU9)^(1/($AS$29-$AS$9))-1</f>
        <v>-2.8407290867122903E-3</v>
      </c>
      <c r="AV54" s="223">
        <f t="shared" si="107"/>
        <v>-0.12241414444716048</v>
      </c>
      <c r="AW54" s="223">
        <f t="shared" si="107"/>
        <v>-0.13781902310907812</v>
      </c>
      <c r="AX54" s="223">
        <f t="shared" si="107"/>
        <v>-3.2821707407778566E-3</v>
      </c>
      <c r="AY54" s="223">
        <f t="shared" si="107"/>
        <v>-8.49116952444956E-2</v>
      </c>
      <c r="AZ54" s="223">
        <f t="shared" ref="AZ54" si="108">(AZ29/AZ9)^(1/($AS$29-$AS$9))-1</f>
        <v>-0.13822639938231174</v>
      </c>
      <c r="BB54" s="3" t="s">
        <v>79</v>
      </c>
      <c r="BC54" s="223">
        <f>(BC29/BC9)^(1/($BB$29-$BB$9))-1</f>
        <v>-8.0584709570698521E-2</v>
      </c>
      <c r="BD54" s="223">
        <f t="shared" ref="BD54:BI54" si="109">(BD29/BD9)^(1/($BB$29-$BB$9))-1</f>
        <v>-2.6147983368867145E-3</v>
      </c>
      <c r="BE54" s="223">
        <f t="shared" si="109"/>
        <v>-0.12220366132759464</v>
      </c>
      <c r="BF54" s="223">
        <f t="shared" si="109"/>
        <v>-0.13486058362455389</v>
      </c>
      <c r="BG54" s="223">
        <f t="shared" si="109"/>
        <v>-2.8269413546689881E-3</v>
      </c>
      <c r="BH54" s="223">
        <f t="shared" si="109"/>
        <v>-8.4470106578789728E-2</v>
      </c>
      <c r="BI54" s="223">
        <f t="shared" si="109"/>
        <v>-0.13518899740986123</v>
      </c>
      <c r="BK54" s="3" t="s">
        <v>79</v>
      </c>
      <c r="BL54" s="223">
        <f>(BL29/BL9)^(1/($BK$29-$BK$9))-1</f>
        <v>-7.7862642845757168E-2</v>
      </c>
      <c r="BM54" s="223">
        <f t="shared" ref="BM54:BQ54" si="110">(BM29/BM9)^(1/($BK$29-$BK$9))-1</f>
        <v>-2.1118479723941652E-3</v>
      </c>
      <c r="BN54" s="223">
        <f t="shared" si="110"/>
        <v>-0.11757145528034285</v>
      </c>
      <c r="BO54" s="223">
        <f t="shared" si="110"/>
        <v>-0.11916720102604128</v>
      </c>
      <c r="BP54" s="223">
        <f t="shared" si="110"/>
        <v>-2.2400157201951654E-3</v>
      </c>
      <c r="BQ54" s="223">
        <f t="shared" si="110"/>
        <v>-7.4816778510098603E-2</v>
      </c>
      <c r="BR54" s="223">
        <f t="shared" ref="BR54" si="111">(BR29/BR9)^(1/($BK$29-$BK$9))-1</f>
        <v>-0.11936223297893866</v>
      </c>
      <c r="BT54" s="3" t="s">
        <v>79</v>
      </c>
      <c r="BU54" s="223">
        <f>(BU29/BU9)^(1/($BT$29-$BT$9))-1</f>
        <v>-7.707998474616562E-2</v>
      </c>
      <c r="BV54" s="223">
        <f t="shared" ref="BV54:BZ54" si="112">(BV29/BV9)^(1/($BT$29-$BT$9))-1</f>
        <v>-2.1194022246067146E-3</v>
      </c>
      <c r="BW54" s="223">
        <f t="shared" si="112"/>
        <v>-0.11676390027238159</v>
      </c>
      <c r="BX54" s="223">
        <f t="shared" si="112"/>
        <v>-0.11623350312471148</v>
      </c>
      <c r="BY54" s="223">
        <f t="shared" si="112"/>
        <v>-2.2201200084238648E-3</v>
      </c>
      <c r="BZ54" s="223">
        <f t="shared" si="112"/>
        <v>-7.2720831967442945E-2</v>
      </c>
      <c r="CA54" s="223">
        <f t="shared" ref="CA54" si="113">(CA29/CA9)^(1/($BT$29-$BT$9))-1</f>
        <v>-0.11638568148417561</v>
      </c>
    </row>
    <row r="55" spans="2:79" x14ac:dyDescent="0.25">
      <c r="B55" s="235"/>
      <c r="C55" s="247"/>
      <c r="D55" s="247">
        <v>50</v>
      </c>
      <c r="E55" s="391">
        <v>0.98050000000000004</v>
      </c>
      <c r="F55" s="392">
        <v>1116.8298</v>
      </c>
      <c r="G55" s="389">
        <v>4.0528000000000004</v>
      </c>
      <c r="H55" s="389">
        <v>5.3499999999999999E-2</v>
      </c>
      <c r="I55" s="389">
        <v>1.0699999999999999E-2</v>
      </c>
      <c r="J55" s="393">
        <v>0.1193</v>
      </c>
      <c r="K55" s="390">
        <v>5.1200000000000002E-2</v>
      </c>
      <c r="L55" s="238"/>
      <c r="M55" s="231"/>
      <c r="N55" s="235"/>
      <c r="O55" s="248"/>
      <c r="P55" s="247">
        <v>50</v>
      </c>
      <c r="Q55" s="408">
        <v>0.26679999999999998</v>
      </c>
      <c r="R55" s="409">
        <v>1132.5420999999999</v>
      </c>
      <c r="S55" s="406">
        <v>0.42259999999999998</v>
      </c>
      <c r="T55" s="406">
        <v>4.4000000000000003E-3</v>
      </c>
      <c r="U55" s="406">
        <v>1.0800000000000001E-2</v>
      </c>
      <c r="V55" s="410">
        <v>3.0099999999999998E-2</v>
      </c>
      <c r="W55" s="407">
        <v>4.1999999999999997E-3</v>
      </c>
      <c r="X55" s="238"/>
    </row>
    <row r="56" spans="2:79" x14ac:dyDescent="0.25">
      <c r="B56" s="235"/>
      <c r="C56" s="247"/>
      <c r="D56" s="247">
        <v>51</v>
      </c>
      <c r="E56" s="391">
        <v>0.95650000000000002</v>
      </c>
      <c r="F56" s="392">
        <v>1133.0389</v>
      </c>
      <c r="G56" s="389">
        <v>4.1048999999999998</v>
      </c>
      <c r="H56" s="389">
        <v>5.6500000000000002E-2</v>
      </c>
      <c r="I56" s="389">
        <v>1.09E-2</v>
      </c>
      <c r="J56" s="393">
        <v>0.11899999999999999</v>
      </c>
      <c r="K56" s="390">
        <v>5.4100000000000002E-2</v>
      </c>
      <c r="L56" s="238"/>
      <c r="M56" s="231"/>
      <c r="N56" s="235"/>
      <c r="O56" s="248"/>
      <c r="P56" s="247">
        <v>51</v>
      </c>
      <c r="Q56" s="408">
        <v>0.25729999999999997</v>
      </c>
      <c r="R56" s="409">
        <v>1134.5664999999999</v>
      </c>
      <c r="S56" s="406">
        <v>0.40820000000000001</v>
      </c>
      <c r="T56" s="406">
        <v>4.4000000000000003E-3</v>
      </c>
      <c r="U56" s="406">
        <v>1.0800000000000001E-2</v>
      </c>
      <c r="V56" s="410">
        <v>2.8799999999999999E-2</v>
      </c>
      <c r="W56" s="407">
        <v>4.1999999999999997E-3</v>
      </c>
      <c r="X56" s="238"/>
    </row>
    <row r="57" spans="2:79" x14ac:dyDescent="0.25">
      <c r="B57" s="235"/>
      <c r="C57" s="247"/>
      <c r="D57" s="247">
        <v>52</v>
      </c>
      <c r="E57" s="391">
        <v>0.93240000000000001</v>
      </c>
      <c r="F57" s="392">
        <v>1149.2479000000001</v>
      </c>
      <c r="G57" s="389">
        <v>4.1569000000000003</v>
      </c>
      <c r="H57" s="389">
        <v>5.9499999999999997E-2</v>
      </c>
      <c r="I57" s="389">
        <v>1.0999999999999999E-2</v>
      </c>
      <c r="J57" s="393">
        <v>0.1188</v>
      </c>
      <c r="K57" s="390">
        <v>5.6899999999999999E-2</v>
      </c>
      <c r="L57" s="238"/>
      <c r="M57" s="231"/>
      <c r="N57" s="235"/>
      <c r="O57" s="248"/>
      <c r="P57" s="247">
        <v>52</v>
      </c>
      <c r="Q57" s="408">
        <v>0.24779999999999999</v>
      </c>
      <c r="R57" s="409">
        <v>1136.5908999999999</v>
      </c>
      <c r="S57" s="406">
        <v>0.39369999999999999</v>
      </c>
      <c r="T57" s="406">
        <v>4.3E-3</v>
      </c>
      <c r="U57" s="406">
        <v>1.0800000000000001E-2</v>
      </c>
      <c r="V57" s="410">
        <v>2.75E-2</v>
      </c>
      <c r="W57" s="407">
        <v>4.1000000000000003E-3</v>
      </c>
      <c r="X57" s="238"/>
    </row>
    <row r="58" spans="2:79" x14ac:dyDescent="0.25">
      <c r="B58" s="235"/>
      <c r="C58" s="247"/>
      <c r="D58" s="247">
        <v>53</v>
      </c>
      <c r="E58" s="391">
        <v>0.9083</v>
      </c>
      <c r="F58" s="392">
        <v>1165.4568999999999</v>
      </c>
      <c r="G58" s="389">
        <v>4.2089999999999996</v>
      </c>
      <c r="H58" s="389">
        <v>6.25E-2</v>
      </c>
      <c r="I58" s="389">
        <v>1.12E-2</v>
      </c>
      <c r="J58" s="393">
        <v>0.11849999999999999</v>
      </c>
      <c r="K58" s="390">
        <v>5.9700000000000003E-2</v>
      </c>
      <c r="L58" s="238"/>
      <c r="M58" s="231"/>
      <c r="N58" s="235"/>
      <c r="O58" s="248"/>
      <c r="P58" s="247">
        <v>53</v>
      </c>
      <c r="Q58" s="408">
        <v>0.23830000000000001</v>
      </c>
      <c r="R58" s="409">
        <v>1138.6152</v>
      </c>
      <c r="S58" s="406">
        <v>0.37919999999999998</v>
      </c>
      <c r="T58" s="406">
        <v>4.3E-3</v>
      </c>
      <c r="U58" s="406">
        <v>1.09E-2</v>
      </c>
      <c r="V58" s="410">
        <v>2.6200000000000001E-2</v>
      </c>
      <c r="W58" s="407">
        <v>4.1000000000000003E-3</v>
      </c>
      <c r="X58" s="238"/>
    </row>
    <row r="59" spans="2:79" x14ac:dyDescent="0.25">
      <c r="B59" s="235"/>
      <c r="C59" s="247"/>
      <c r="D59" s="247">
        <v>54</v>
      </c>
      <c r="E59" s="391">
        <v>0.88419999999999999</v>
      </c>
      <c r="F59" s="392">
        <v>1181.6659</v>
      </c>
      <c r="G59" s="389">
        <v>4.2610000000000001</v>
      </c>
      <c r="H59" s="389">
        <v>6.54E-2</v>
      </c>
      <c r="I59" s="389">
        <v>1.1299999999999999E-2</v>
      </c>
      <c r="J59" s="393">
        <v>0.1182</v>
      </c>
      <c r="K59" s="390">
        <v>6.2600000000000003E-2</v>
      </c>
      <c r="L59" s="238"/>
      <c r="M59" s="231"/>
      <c r="N59" s="235"/>
      <c r="O59" s="248"/>
      <c r="P59" s="247">
        <v>54</v>
      </c>
      <c r="Q59" s="408">
        <v>0.2288</v>
      </c>
      <c r="R59" s="409">
        <v>1140.6396</v>
      </c>
      <c r="S59" s="406">
        <v>0.36480000000000001</v>
      </c>
      <c r="T59" s="406">
        <v>4.1999999999999997E-3</v>
      </c>
      <c r="U59" s="406">
        <v>1.09E-2</v>
      </c>
      <c r="V59" s="410">
        <v>2.5000000000000001E-2</v>
      </c>
      <c r="W59" s="407">
        <v>4.0000000000000001E-3</v>
      </c>
      <c r="X59" s="238"/>
    </row>
    <row r="60" spans="2:79" x14ac:dyDescent="0.25">
      <c r="B60" s="235"/>
      <c r="C60" s="247"/>
      <c r="D60" s="247">
        <v>55</v>
      </c>
      <c r="E60" s="391">
        <v>0.86009999999999998</v>
      </c>
      <c r="F60" s="392">
        <v>1197.8749</v>
      </c>
      <c r="G60" s="389">
        <v>4.3131000000000004</v>
      </c>
      <c r="H60" s="389">
        <v>6.8400000000000002E-2</v>
      </c>
      <c r="I60" s="389">
        <v>1.15E-2</v>
      </c>
      <c r="J60" s="393">
        <v>0.1179</v>
      </c>
      <c r="K60" s="390">
        <v>6.54E-2</v>
      </c>
      <c r="L60" s="238"/>
      <c r="M60" s="231"/>
      <c r="N60" s="235"/>
      <c r="O60" s="248"/>
      <c r="P60" s="247">
        <v>55</v>
      </c>
      <c r="Q60" s="408">
        <v>0.21929999999999999</v>
      </c>
      <c r="R60" s="409">
        <v>1142.664</v>
      </c>
      <c r="S60" s="406">
        <v>0.3503</v>
      </c>
      <c r="T60" s="406">
        <v>4.1999999999999997E-3</v>
      </c>
      <c r="U60" s="406">
        <v>1.09E-2</v>
      </c>
      <c r="V60" s="410">
        <v>2.3699999999999999E-2</v>
      </c>
      <c r="W60" s="407">
        <v>4.0000000000000001E-3</v>
      </c>
      <c r="X60" s="238"/>
    </row>
    <row r="61" spans="2:79" x14ac:dyDescent="0.25">
      <c r="B61" s="235"/>
      <c r="C61" s="247"/>
      <c r="D61" s="247">
        <v>56</v>
      </c>
      <c r="E61" s="391">
        <v>0.86329999999999996</v>
      </c>
      <c r="F61" s="392">
        <v>1184.5830000000001</v>
      </c>
      <c r="G61" s="389">
        <v>4.2355999999999998</v>
      </c>
      <c r="H61" s="389">
        <v>7.0199999999999999E-2</v>
      </c>
      <c r="I61" s="389">
        <v>1.14E-2</v>
      </c>
      <c r="J61" s="393">
        <v>0.11749999999999999</v>
      </c>
      <c r="K61" s="390">
        <v>6.7199999999999996E-2</v>
      </c>
      <c r="L61" s="238"/>
      <c r="M61" s="231"/>
      <c r="N61" s="235"/>
      <c r="O61" s="248"/>
      <c r="P61" s="247">
        <v>56</v>
      </c>
      <c r="Q61" s="408">
        <v>0.20780000000000001</v>
      </c>
      <c r="R61" s="409">
        <v>1127.3471999999999</v>
      </c>
      <c r="S61" s="406">
        <v>0.3362</v>
      </c>
      <c r="T61" s="406">
        <v>4.1000000000000003E-3</v>
      </c>
      <c r="U61" s="406">
        <v>1.0800000000000001E-2</v>
      </c>
      <c r="V61" s="410">
        <v>2.2700000000000001E-2</v>
      </c>
      <c r="W61" s="407">
        <v>3.8999999999999998E-3</v>
      </c>
      <c r="X61" s="238"/>
    </row>
    <row r="62" spans="2:79" x14ac:dyDescent="0.25">
      <c r="B62" s="235"/>
      <c r="C62" s="247"/>
      <c r="D62" s="247">
        <v>57</v>
      </c>
      <c r="E62" s="391">
        <v>0.86650000000000005</v>
      </c>
      <c r="F62" s="392">
        <v>1171.2910999999999</v>
      </c>
      <c r="G62" s="389">
        <v>4.1581999999999999</v>
      </c>
      <c r="H62" s="389">
        <v>7.2099999999999997E-2</v>
      </c>
      <c r="I62" s="389">
        <v>1.12E-2</v>
      </c>
      <c r="J62" s="393">
        <v>0.11700000000000001</v>
      </c>
      <c r="K62" s="390">
        <v>6.8900000000000003E-2</v>
      </c>
      <c r="L62" s="238"/>
      <c r="M62" s="231"/>
      <c r="N62" s="235"/>
      <c r="O62" s="248"/>
      <c r="P62" s="247">
        <v>57</v>
      </c>
      <c r="Q62" s="408">
        <v>0.1963</v>
      </c>
      <c r="R62" s="409">
        <v>1112.0304000000001</v>
      </c>
      <c r="S62" s="406">
        <v>0.3221</v>
      </c>
      <c r="T62" s="406">
        <v>4.0000000000000001E-3</v>
      </c>
      <c r="U62" s="406">
        <v>1.06E-2</v>
      </c>
      <c r="V62" s="410">
        <v>2.1700000000000001E-2</v>
      </c>
      <c r="W62" s="407">
        <v>3.8999999999999998E-3</v>
      </c>
      <c r="X62" s="238"/>
    </row>
    <row r="63" spans="2:79" x14ac:dyDescent="0.25">
      <c r="B63" s="235"/>
      <c r="C63" s="247"/>
      <c r="D63" s="247">
        <v>58</v>
      </c>
      <c r="E63" s="391">
        <v>0.86960000000000004</v>
      </c>
      <c r="F63" s="392">
        <v>1157.9992</v>
      </c>
      <c r="G63" s="389">
        <v>4.0807000000000002</v>
      </c>
      <c r="H63" s="389">
        <v>7.3899999999999993E-2</v>
      </c>
      <c r="I63" s="389">
        <v>1.11E-2</v>
      </c>
      <c r="J63" s="393">
        <v>0.1166</v>
      </c>
      <c r="K63" s="390">
        <v>7.0699999999999999E-2</v>
      </c>
      <c r="L63" s="238"/>
      <c r="M63" s="231"/>
      <c r="N63" s="235"/>
      <c r="O63" s="248"/>
      <c r="P63" s="247">
        <v>58</v>
      </c>
      <c r="Q63" s="408">
        <v>0.18479999999999999</v>
      </c>
      <c r="R63" s="409">
        <v>1096.7136</v>
      </c>
      <c r="S63" s="406">
        <v>0.308</v>
      </c>
      <c r="T63" s="406">
        <v>4.0000000000000001E-3</v>
      </c>
      <c r="U63" s="406">
        <v>1.0500000000000001E-2</v>
      </c>
      <c r="V63" s="410">
        <v>2.07E-2</v>
      </c>
      <c r="W63" s="407">
        <v>3.8E-3</v>
      </c>
      <c r="X63" s="238"/>
    </row>
    <row r="64" spans="2:79" x14ac:dyDescent="0.25">
      <c r="B64" s="235"/>
      <c r="C64" s="247"/>
      <c r="D64" s="247">
        <v>59</v>
      </c>
      <c r="E64" s="391">
        <v>0.87280000000000002</v>
      </c>
      <c r="F64" s="392">
        <v>1144.7073</v>
      </c>
      <c r="G64" s="389">
        <v>4.0031999999999996</v>
      </c>
      <c r="H64" s="389">
        <v>7.5700000000000003E-2</v>
      </c>
      <c r="I64" s="389">
        <v>1.0999999999999999E-2</v>
      </c>
      <c r="J64" s="393">
        <v>0.1162</v>
      </c>
      <c r="K64" s="390">
        <v>7.2499999999999995E-2</v>
      </c>
      <c r="L64" s="238"/>
      <c r="M64" s="231"/>
      <c r="N64" s="235"/>
      <c r="O64" s="248"/>
      <c r="P64" s="247">
        <v>59</v>
      </c>
      <c r="Q64" s="408">
        <v>0.17330000000000001</v>
      </c>
      <c r="R64" s="409">
        <v>1081.3968</v>
      </c>
      <c r="S64" s="406">
        <v>0.29389999999999999</v>
      </c>
      <c r="T64" s="406">
        <v>3.8999999999999998E-3</v>
      </c>
      <c r="U64" s="406">
        <v>1.03E-2</v>
      </c>
      <c r="V64" s="410">
        <v>1.9699999999999999E-2</v>
      </c>
      <c r="W64" s="407">
        <v>3.7000000000000002E-3</v>
      </c>
      <c r="X64" s="238"/>
    </row>
    <row r="65" spans="2:24" x14ac:dyDescent="0.25">
      <c r="B65" s="235"/>
      <c r="C65" s="247"/>
      <c r="D65" s="247">
        <v>60</v>
      </c>
      <c r="E65" s="391">
        <v>0.876</v>
      </c>
      <c r="F65" s="392">
        <v>1131.4152999999999</v>
      </c>
      <c r="G65" s="389">
        <v>3.9257</v>
      </c>
      <c r="H65" s="389">
        <v>7.7600000000000002E-2</v>
      </c>
      <c r="I65" s="389">
        <v>1.09E-2</v>
      </c>
      <c r="J65" s="393">
        <v>0.1157</v>
      </c>
      <c r="K65" s="390">
        <v>7.4200000000000002E-2</v>
      </c>
      <c r="L65" s="238"/>
      <c r="M65" s="231"/>
      <c r="N65" s="235"/>
      <c r="O65" s="248"/>
      <c r="P65" s="247">
        <v>60</v>
      </c>
      <c r="Q65" s="408">
        <v>0.1618</v>
      </c>
      <c r="R65" s="409">
        <v>1066.08</v>
      </c>
      <c r="S65" s="406">
        <v>0.27979999999999999</v>
      </c>
      <c r="T65" s="406">
        <v>3.8E-3</v>
      </c>
      <c r="U65" s="406">
        <v>1.0200000000000001E-2</v>
      </c>
      <c r="V65" s="410">
        <v>1.8800000000000001E-2</v>
      </c>
      <c r="W65" s="407">
        <v>3.7000000000000002E-3</v>
      </c>
      <c r="X65" s="238"/>
    </row>
    <row r="66" spans="2:24" x14ac:dyDescent="0.25">
      <c r="B66" s="235"/>
      <c r="C66" s="247"/>
      <c r="D66" s="247">
        <v>61</v>
      </c>
      <c r="E66" s="391">
        <v>0.88939999999999997</v>
      </c>
      <c r="F66" s="392">
        <v>1131.7408</v>
      </c>
      <c r="G66" s="389">
        <v>3.9251</v>
      </c>
      <c r="H66" s="389">
        <v>7.4999999999999997E-2</v>
      </c>
      <c r="I66" s="389">
        <v>1.09E-2</v>
      </c>
      <c r="J66" s="393">
        <v>0.11509999999999999</v>
      </c>
      <c r="K66" s="390">
        <v>7.1800000000000003E-2</v>
      </c>
      <c r="L66" s="238"/>
      <c r="M66" s="231"/>
      <c r="N66" s="235"/>
      <c r="O66" s="248"/>
      <c r="P66" s="247">
        <v>61</v>
      </c>
      <c r="Q66" s="408">
        <v>0.16500000000000001</v>
      </c>
      <c r="R66" s="409">
        <v>1070.1958999999999</v>
      </c>
      <c r="S66" s="406">
        <v>0.28460000000000002</v>
      </c>
      <c r="T66" s="406">
        <v>3.8999999999999998E-3</v>
      </c>
      <c r="U66" s="406">
        <v>1.0200000000000001E-2</v>
      </c>
      <c r="V66" s="410">
        <v>1.9199999999999998E-2</v>
      </c>
      <c r="W66" s="407">
        <v>3.7000000000000002E-3</v>
      </c>
      <c r="X66" s="238"/>
    </row>
    <row r="67" spans="2:24" x14ac:dyDescent="0.25">
      <c r="B67" s="235"/>
      <c r="C67" s="247"/>
      <c r="D67" s="247">
        <v>62</v>
      </c>
      <c r="E67" s="391">
        <v>0.90280000000000005</v>
      </c>
      <c r="F67" s="392">
        <v>1132.0663999999999</v>
      </c>
      <c r="G67" s="389">
        <v>3.9243999999999999</v>
      </c>
      <c r="H67" s="389">
        <v>7.2499999999999995E-2</v>
      </c>
      <c r="I67" s="389">
        <v>1.09E-2</v>
      </c>
      <c r="J67" s="393">
        <v>0.1145</v>
      </c>
      <c r="K67" s="390">
        <v>6.9400000000000003E-2</v>
      </c>
      <c r="L67" s="238"/>
      <c r="M67" s="231"/>
      <c r="N67" s="235"/>
      <c r="O67" s="248"/>
      <c r="P67" s="247">
        <v>62</v>
      </c>
      <c r="Q67" s="408">
        <v>0.16819999999999999</v>
      </c>
      <c r="R67" s="409">
        <v>1074.3117</v>
      </c>
      <c r="S67" s="406">
        <v>0.28949999999999998</v>
      </c>
      <c r="T67" s="406">
        <v>4.0000000000000001E-3</v>
      </c>
      <c r="U67" s="406">
        <v>1.03E-2</v>
      </c>
      <c r="V67" s="410">
        <v>1.9599999999999999E-2</v>
      </c>
      <c r="W67" s="407">
        <v>3.8E-3</v>
      </c>
      <c r="X67" s="238"/>
    </row>
    <row r="68" spans="2:24" x14ac:dyDescent="0.25">
      <c r="B68" s="235"/>
      <c r="C68" s="247"/>
      <c r="D68" s="247">
        <v>63</v>
      </c>
      <c r="E68" s="391">
        <v>0.9163</v>
      </c>
      <c r="F68" s="392">
        <v>1132.3919000000001</v>
      </c>
      <c r="G68" s="389">
        <v>3.9237000000000002</v>
      </c>
      <c r="H68" s="389">
        <v>7.0000000000000007E-2</v>
      </c>
      <c r="I68" s="389">
        <v>1.09E-2</v>
      </c>
      <c r="J68" s="393">
        <v>0.1139</v>
      </c>
      <c r="K68" s="390">
        <v>6.6900000000000001E-2</v>
      </c>
      <c r="L68" s="238"/>
      <c r="M68" s="231"/>
      <c r="N68" s="235"/>
      <c r="O68" s="248"/>
      <c r="P68" s="247">
        <v>63</v>
      </c>
      <c r="Q68" s="408">
        <v>0.17150000000000001</v>
      </c>
      <c r="R68" s="409">
        <v>1078.4276</v>
      </c>
      <c r="S68" s="406">
        <v>0.29430000000000001</v>
      </c>
      <c r="T68" s="406">
        <v>4.0000000000000001E-3</v>
      </c>
      <c r="U68" s="406">
        <v>1.03E-2</v>
      </c>
      <c r="V68" s="410">
        <v>0.02</v>
      </c>
      <c r="W68" s="407">
        <v>3.8999999999999998E-3</v>
      </c>
      <c r="X68" s="238"/>
    </row>
    <row r="69" spans="2:24" x14ac:dyDescent="0.25">
      <c r="B69" s="235"/>
      <c r="C69" s="247"/>
      <c r="D69" s="247">
        <v>64</v>
      </c>
      <c r="E69" s="391">
        <v>0.92969999999999997</v>
      </c>
      <c r="F69" s="392">
        <v>1132.7174</v>
      </c>
      <c r="G69" s="389">
        <v>3.923</v>
      </c>
      <c r="H69" s="389">
        <v>6.7400000000000002E-2</v>
      </c>
      <c r="I69" s="389">
        <v>1.09E-2</v>
      </c>
      <c r="J69" s="393">
        <v>0.1133</v>
      </c>
      <c r="K69" s="390">
        <v>6.4500000000000002E-2</v>
      </c>
      <c r="L69" s="238"/>
      <c r="M69" s="231"/>
      <c r="N69" s="235"/>
      <c r="O69" s="248"/>
      <c r="P69" s="247">
        <v>64</v>
      </c>
      <c r="Q69" s="408">
        <v>0.17469999999999999</v>
      </c>
      <c r="R69" s="409">
        <v>1082.5434</v>
      </c>
      <c r="S69" s="406">
        <v>0.29920000000000002</v>
      </c>
      <c r="T69" s="406">
        <v>4.1000000000000003E-3</v>
      </c>
      <c r="U69" s="406">
        <v>1.04E-2</v>
      </c>
      <c r="V69" s="410">
        <v>2.0400000000000001E-2</v>
      </c>
      <c r="W69" s="407">
        <v>3.8999999999999998E-3</v>
      </c>
      <c r="X69" s="238"/>
    </row>
    <row r="70" spans="2:24" x14ac:dyDescent="0.25">
      <c r="B70" s="235"/>
      <c r="C70" s="247"/>
      <c r="D70" s="247">
        <v>65</v>
      </c>
      <c r="E70" s="391">
        <v>0.94310000000000005</v>
      </c>
      <c r="F70" s="392">
        <v>1133.0428999999999</v>
      </c>
      <c r="G70" s="389">
        <v>3.9224000000000001</v>
      </c>
      <c r="H70" s="389">
        <v>6.4899999999999999E-2</v>
      </c>
      <c r="I70" s="389">
        <v>1.09E-2</v>
      </c>
      <c r="J70" s="393">
        <v>0.11269999999999999</v>
      </c>
      <c r="K70" s="390">
        <v>6.2100000000000002E-2</v>
      </c>
      <c r="L70" s="238"/>
      <c r="M70" s="231"/>
      <c r="N70" s="235"/>
      <c r="O70" s="248"/>
      <c r="P70" s="247">
        <v>65</v>
      </c>
      <c r="Q70" s="408">
        <v>0.1779</v>
      </c>
      <c r="R70" s="409">
        <v>1086.6593</v>
      </c>
      <c r="S70" s="406">
        <v>0.30399999999999999</v>
      </c>
      <c r="T70" s="406">
        <v>4.1000000000000003E-3</v>
      </c>
      <c r="U70" s="406">
        <v>1.04E-2</v>
      </c>
      <c r="V70" s="410">
        <v>2.0799999999999999E-2</v>
      </c>
      <c r="W70" s="407">
        <v>4.0000000000000001E-3</v>
      </c>
      <c r="X70" s="238"/>
    </row>
    <row r="71" spans="2:24" x14ac:dyDescent="0.25">
      <c r="B71" s="235"/>
      <c r="C71" s="247"/>
      <c r="D71" s="247">
        <v>66</v>
      </c>
      <c r="E71" s="391">
        <v>0.91900000000000004</v>
      </c>
      <c r="F71" s="392">
        <v>1151.0836999999999</v>
      </c>
      <c r="G71" s="389">
        <v>3.9095</v>
      </c>
      <c r="H71" s="389">
        <v>6.1400000000000003E-2</v>
      </c>
      <c r="I71" s="389">
        <v>1.0999999999999999E-2</v>
      </c>
      <c r="J71" s="393">
        <v>0.10979999999999999</v>
      </c>
      <c r="K71" s="390">
        <v>5.8700000000000002E-2</v>
      </c>
      <c r="L71" s="238"/>
      <c r="M71" s="231"/>
      <c r="N71" s="235"/>
      <c r="O71" s="248"/>
      <c r="P71" s="247">
        <v>66</v>
      </c>
      <c r="Q71" s="408">
        <v>0.17599999999999999</v>
      </c>
      <c r="R71" s="409">
        <v>1103.7782999999999</v>
      </c>
      <c r="S71" s="406">
        <v>0.30880000000000002</v>
      </c>
      <c r="T71" s="406">
        <v>4.1999999999999997E-3</v>
      </c>
      <c r="U71" s="406">
        <v>1.06E-2</v>
      </c>
      <c r="V71" s="410">
        <v>2.12E-2</v>
      </c>
      <c r="W71" s="407">
        <v>4.0000000000000001E-3</v>
      </c>
      <c r="X71" s="238"/>
    </row>
    <row r="72" spans="2:24" x14ac:dyDescent="0.25">
      <c r="B72" s="235"/>
      <c r="C72" s="247"/>
      <c r="D72" s="247">
        <v>67</v>
      </c>
      <c r="E72" s="391">
        <v>0.89490000000000003</v>
      </c>
      <c r="F72" s="392">
        <v>1169.1244999999999</v>
      </c>
      <c r="G72" s="389">
        <v>3.8965999999999998</v>
      </c>
      <c r="H72" s="389">
        <v>5.79E-2</v>
      </c>
      <c r="I72" s="389">
        <v>1.12E-2</v>
      </c>
      <c r="J72" s="393">
        <v>0.107</v>
      </c>
      <c r="K72" s="390">
        <v>5.5399999999999998E-2</v>
      </c>
      <c r="L72" s="238"/>
      <c r="M72" s="231"/>
      <c r="N72" s="235"/>
      <c r="O72" s="248"/>
      <c r="P72" s="247">
        <v>67</v>
      </c>
      <c r="Q72" s="408">
        <v>0.1741</v>
      </c>
      <c r="R72" s="409">
        <v>1120.8973000000001</v>
      </c>
      <c r="S72" s="406">
        <v>0.3135</v>
      </c>
      <c r="T72" s="406">
        <v>4.1999999999999997E-3</v>
      </c>
      <c r="U72" s="406">
        <v>1.0699999999999999E-2</v>
      </c>
      <c r="V72" s="410">
        <v>2.1600000000000001E-2</v>
      </c>
      <c r="W72" s="407">
        <v>4.1000000000000003E-3</v>
      </c>
      <c r="X72" s="238"/>
    </row>
    <row r="73" spans="2:24" x14ac:dyDescent="0.25">
      <c r="B73" s="235"/>
      <c r="C73" s="247"/>
      <c r="D73" s="247">
        <v>68</v>
      </c>
      <c r="E73" s="391">
        <v>0.87070000000000003</v>
      </c>
      <c r="F73" s="392">
        <v>1187.1651999999999</v>
      </c>
      <c r="G73" s="389">
        <v>3.8837000000000002</v>
      </c>
      <c r="H73" s="389">
        <v>5.4399999999999997E-2</v>
      </c>
      <c r="I73" s="389">
        <v>1.14E-2</v>
      </c>
      <c r="J73" s="393">
        <v>0.1042</v>
      </c>
      <c r="K73" s="390">
        <v>5.21E-2</v>
      </c>
      <c r="L73" s="238"/>
      <c r="M73" s="231"/>
      <c r="N73" s="235"/>
      <c r="O73" s="248"/>
      <c r="P73" s="247">
        <v>68</v>
      </c>
      <c r="Q73" s="408">
        <v>0.1721</v>
      </c>
      <c r="R73" s="409">
        <v>1138.0163</v>
      </c>
      <c r="S73" s="406">
        <v>0.31830000000000003</v>
      </c>
      <c r="T73" s="406">
        <v>4.3E-3</v>
      </c>
      <c r="U73" s="406">
        <v>1.09E-2</v>
      </c>
      <c r="V73" s="410">
        <v>2.1999999999999999E-2</v>
      </c>
      <c r="W73" s="407">
        <v>4.1000000000000003E-3</v>
      </c>
      <c r="X73" s="238"/>
    </row>
    <row r="74" spans="2:24" x14ac:dyDescent="0.25">
      <c r="B74" s="235"/>
      <c r="C74" s="247"/>
      <c r="D74" s="247">
        <v>69</v>
      </c>
      <c r="E74" s="391">
        <v>0.84660000000000002</v>
      </c>
      <c r="F74" s="392">
        <v>1205.2059999999999</v>
      </c>
      <c r="G74" s="389">
        <v>3.8708</v>
      </c>
      <c r="H74" s="389">
        <v>5.0900000000000001E-2</v>
      </c>
      <c r="I74" s="389">
        <v>1.15E-2</v>
      </c>
      <c r="J74" s="393">
        <v>0.1014</v>
      </c>
      <c r="K74" s="390">
        <v>4.87E-2</v>
      </c>
      <c r="L74" s="238"/>
      <c r="M74" s="231"/>
      <c r="N74" s="235"/>
      <c r="O74" s="248"/>
      <c r="P74" s="247">
        <v>69</v>
      </c>
      <c r="Q74" s="408">
        <v>0.17019999999999999</v>
      </c>
      <c r="R74" s="409">
        <v>1155.1352999999999</v>
      </c>
      <c r="S74" s="406">
        <v>0.3231</v>
      </c>
      <c r="T74" s="406">
        <v>4.3E-3</v>
      </c>
      <c r="U74" s="406">
        <v>1.0999999999999999E-2</v>
      </c>
      <c r="V74" s="410">
        <v>2.24E-2</v>
      </c>
      <c r="W74" s="407">
        <v>4.1000000000000003E-3</v>
      </c>
      <c r="X74" s="238"/>
    </row>
    <row r="75" spans="2:24" x14ac:dyDescent="0.25">
      <c r="B75" s="235"/>
      <c r="C75" s="247"/>
      <c r="D75" s="247">
        <v>70</v>
      </c>
      <c r="E75" s="391">
        <v>0.82250000000000001</v>
      </c>
      <c r="F75" s="392">
        <v>1223.2467999999999</v>
      </c>
      <c r="G75" s="389">
        <v>3.8578999999999999</v>
      </c>
      <c r="H75" s="389">
        <v>4.7500000000000001E-2</v>
      </c>
      <c r="I75" s="389">
        <v>1.17E-2</v>
      </c>
      <c r="J75" s="393">
        <v>9.8599999999999993E-2</v>
      </c>
      <c r="K75" s="390">
        <v>4.5400000000000003E-2</v>
      </c>
      <c r="L75" s="238"/>
      <c r="M75" s="231"/>
      <c r="N75" s="235"/>
      <c r="O75" s="248"/>
      <c r="P75" s="247">
        <v>70</v>
      </c>
      <c r="Q75" s="408">
        <v>0.16830000000000001</v>
      </c>
      <c r="R75" s="409">
        <v>1172.2543000000001</v>
      </c>
      <c r="S75" s="406">
        <v>0.32779999999999998</v>
      </c>
      <c r="T75" s="406">
        <v>4.4000000000000003E-3</v>
      </c>
      <c r="U75" s="406">
        <v>1.12E-2</v>
      </c>
      <c r="V75" s="410">
        <v>2.2800000000000001E-2</v>
      </c>
      <c r="W75" s="407">
        <v>4.1999999999999997E-3</v>
      </c>
      <c r="X75" s="238"/>
    </row>
    <row r="76" spans="2:24" ht="15.75" thickBot="1" x14ac:dyDescent="0.3">
      <c r="B76" s="260"/>
      <c r="C76" s="261"/>
      <c r="D76" s="261"/>
      <c r="E76" s="261"/>
      <c r="F76" s="261"/>
      <c r="G76" s="261"/>
      <c r="H76" s="261"/>
      <c r="I76" s="261"/>
      <c r="J76" s="261"/>
      <c r="K76" s="261"/>
      <c r="L76" s="262"/>
      <c r="M76" s="231"/>
      <c r="N76" s="260"/>
      <c r="O76" s="261"/>
      <c r="P76" s="261"/>
      <c r="Q76" s="261"/>
      <c r="R76" s="261"/>
      <c r="S76" s="261"/>
      <c r="T76" s="261"/>
      <c r="U76" s="261"/>
      <c r="V76" s="261"/>
      <c r="W76" s="261"/>
      <c r="X76" s="262"/>
    </row>
    <row r="77" spans="2:24" ht="15.75" thickTop="1" x14ac:dyDescent="0.25">
      <c r="B77" s="3" t="s">
        <v>53</v>
      </c>
      <c r="C77" s="3" t="s">
        <v>358</v>
      </c>
    </row>
    <row r="78" spans="2:24" x14ac:dyDescent="0.25">
      <c r="B78" s="263" t="s">
        <v>127</v>
      </c>
    </row>
    <row r="92" spans="1:3" x14ac:dyDescent="0.25">
      <c r="C92" s="26"/>
    </row>
    <row r="93" spans="1:3" x14ac:dyDescent="0.25">
      <c r="A93" s="2"/>
      <c r="B93" s="2"/>
      <c r="C93" s="18"/>
    </row>
    <row r="94" spans="1:3" x14ac:dyDescent="0.25">
      <c r="A94" s="2"/>
      <c r="B94" s="2"/>
      <c r="C94" s="27"/>
    </row>
    <row r="95" spans="1:3" x14ac:dyDescent="0.25">
      <c r="A95" s="2"/>
      <c r="B95" s="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workbookViewId="0">
      <selection activeCell="F18" sqref="F18"/>
    </sheetView>
  </sheetViews>
  <sheetFormatPr defaultColWidth="9.140625" defaultRowHeight="15" x14ac:dyDescent="0.25"/>
  <cols>
    <col min="1" max="16384" width="9.140625" style="59"/>
  </cols>
  <sheetData>
    <row r="1" spans="1:7" x14ac:dyDescent="0.25">
      <c r="A1" s="241" t="s">
        <v>359</v>
      </c>
    </row>
    <row r="2" spans="1:7" x14ac:dyDescent="0.25">
      <c r="B2" s="264" t="s">
        <v>55</v>
      </c>
      <c r="C2" s="264" t="s">
        <v>61</v>
      </c>
      <c r="D2" s="264" t="s">
        <v>62</v>
      </c>
      <c r="E2" s="264" t="s">
        <v>208</v>
      </c>
      <c r="F2" s="264" t="s">
        <v>63</v>
      </c>
      <c r="G2" s="264" t="s">
        <v>56</v>
      </c>
    </row>
    <row r="3" spans="1:7" x14ac:dyDescent="0.25">
      <c r="B3" s="78"/>
      <c r="C3" s="78">
        <v>20.78</v>
      </c>
      <c r="D3" s="78">
        <v>0.42699999999999999</v>
      </c>
      <c r="E3" s="78">
        <v>1.2E-2</v>
      </c>
      <c r="F3" s="78"/>
      <c r="G3" s="78"/>
    </row>
    <row r="4" spans="1:7" x14ac:dyDescent="0.25">
      <c r="A4" s="59" t="s">
        <v>70</v>
      </c>
      <c r="B4" s="59" t="s">
        <v>360</v>
      </c>
    </row>
    <row r="5" spans="1:7" x14ac:dyDescent="0.25">
      <c r="B5" s="3" t="s">
        <v>361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5"/>
  <sheetViews>
    <sheetView workbookViewId="0">
      <selection activeCell="B8" sqref="B8:D9"/>
    </sheetView>
  </sheetViews>
  <sheetFormatPr defaultColWidth="9.140625" defaultRowHeight="15" x14ac:dyDescent="0.25"/>
  <cols>
    <col min="1" max="1" width="57.5703125" style="59" bestFit="1" customWidth="1"/>
    <col min="2" max="2" width="25.140625" style="59" customWidth="1"/>
    <col min="3" max="3" width="21.85546875" style="59" customWidth="1"/>
    <col min="4" max="4" width="42.5703125" style="59" customWidth="1"/>
    <col min="5" max="16384" width="9.140625" style="59"/>
  </cols>
  <sheetData>
    <row r="1" spans="1:4" ht="15.75" thickBot="1" x14ac:dyDescent="0.3"/>
    <row r="2" spans="1:4" x14ac:dyDescent="0.25">
      <c r="A2" s="83" t="s">
        <v>271</v>
      </c>
      <c r="B2" s="265" t="s">
        <v>67</v>
      </c>
      <c r="C2" s="266" t="s">
        <v>68</v>
      </c>
    </row>
    <row r="3" spans="1:4" x14ac:dyDescent="0.25">
      <c r="A3" s="22" t="s">
        <v>71</v>
      </c>
      <c r="B3" s="79">
        <v>109597</v>
      </c>
      <c r="C3" s="267">
        <v>170246</v>
      </c>
    </row>
    <row r="4" spans="1:4" ht="15.75" thickBot="1" x14ac:dyDescent="0.3">
      <c r="A4" s="80" t="s">
        <v>72</v>
      </c>
      <c r="B4" s="268">
        <f>B3/(B3+C3)</f>
        <v>0.39163745385805615</v>
      </c>
      <c r="C4" s="269">
        <f>C3/(B3+C3)</f>
        <v>0.60836254614194385</v>
      </c>
    </row>
    <row r="5" spans="1:4" x14ac:dyDescent="0.25">
      <c r="A5" s="25" t="s">
        <v>70</v>
      </c>
      <c r="B5" s="59" t="s">
        <v>278</v>
      </c>
    </row>
    <row r="6" spans="1:4" ht="15.75" thickBot="1" x14ac:dyDescent="0.3"/>
    <row r="7" spans="1:4" x14ac:dyDescent="0.25">
      <c r="A7" s="83" t="s">
        <v>69</v>
      </c>
      <c r="B7" s="216" t="s">
        <v>160</v>
      </c>
      <c r="C7" s="216" t="s">
        <v>161</v>
      </c>
      <c r="D7" s="217" t="s">
        <v>162</v>
      </c>
    </row>
    <row r="8" spans="1:4" x14ac:dyDescent="0.25">
      <c r="A8" s="22" t="s">
        <v>67</v>
      </c>
      <c r="B8" s="270">
        <f>1.37/100000000</f>
        <v>1.37E-8</v>
      </c>
      <c r="C8" s="209">
        <f>61.4/100000000</f>
        <v>6.1399999999999997E-7</v>
      </c>
      <c r="D8" s="271">
        <f>138.2/100000000</f>
        <v>1.3819999999999999E-6</v>
      </c>
    </row>
    <row r="9" spans="1:4" x14ac:dyDescent="0.25">
      <c r="A9" s="22" t="s">
        <v>68</v>
      </c>
      <c r="B9" s="270">
        <f>1.81/100000000</f>
        <v>1.81E-8</v>
      </c>
      <c r="C9" s="209">
        <f>43.4/100000000</f>
        <v>4.34E-7</v>
      </c>
      <c r="D9" s="272">
        <f>111.8/100000000</f>
        <v>1.1179999999999999E-6</v>
      </c>
    </row>
    <row r="10" spans="1:4" ht="15.75" thickBot="1" x14ac:dyDescent="0.3">
      <c r="A10" s="80" t="s">
        <v>73</v>
      </c>
      <c r="B10" s="273">
        <f>B8*$B$4+B9*$C$4</f>
        <v>1.6376795203024552E-8</v>
      </c>
      <c r="C10" s="273">
        <f>C8*$B$4+C9*$C$4</f>
        <v>5.0449474169445E-7</v>
      </c>
      <c r="D10" s="274">
        <f>D8*$B$4+D9*$C$4</f>
        <v>1.2213922878185268E-6</v>
      </c>
    </row>
    <row r="11" spans="1:4" x14ac:dyDescent="0.25">
      <c r="A11" s="25" t="s">
        <v>53</v>
      </c>
      <c r="B11" s="59" t="s">
        <v>365</v>
      </c>
    </row>
    <row r="13" spans="1:4" ht="15.75" thickBot="1" x14ac:dyDescent="0.3"/>
    <row r="14" spans="1:4" x14ac:dyDescent="0.25">
      <c r="A14" s="83" t="s">
        <v>364</v>
      </c>
      <c r="B14" s="275"/>
      <c r="C14" s="275"/>
      <c r="D14" s="222"/>
    </row>
    <row r="15" spans="1:4" x14ac:dyDescent="0.25">
      <c r="A15" s="22"/>
      <c r="B15" s="276" t="s">
        <v>164</v>
      </c>
      <c r="C15" s="1" t="s">
        <v>165</v>
      </c>
      <c r="D15" s="277" t="s">
        <v>166</v>
      </c>
    </row>
    <row r="16" spans="1:4" x14ac:dyDescent="0.25">
      <c r="A16" s="22" t="s">
        <v>163</v>
      </c>
      <c r="B16" s="81">
        <v>87</v>
      </c>
      <c r="C16" s="81">
        <v>1003</v>
      </c>
      <c r="D16" s="278">
        <v>258</v>
      </c>
    </row>
    <row r="17" spans="1:4" x14ac:dyDescent="0.25">
      <c r="A17" s="22" t="s">
        <v>167</v>
      </c>
      <c r="B17" s="270">
        <f>B16/1000000000</f>
        <v>8.6999999999999998E-8</v>
      </c>
      <c r="C17" s="270">
        <f t="shared" ref="C17:D17" si="0">C16/1000000000</f>
        <v>1.003E-6</v>
      </c>
      <c r="D17" s="272">
        <f t="shared" si="0"/>
        <v>2.5800000000000001E-7</v>
      </c>
    </row>
    <row r="18" spans="1:4" x14ac:dyDescent="0.25">
      <c r="A18" s="22"/>
      <c r="B18" s="270"/>
      <c r="C18" s="270"/>
      <c r="D18" s="272"/>
    </row>
    <row r="19" spans="1:4" x14ac:dyDescent="0.25">
      <c r="A19" s="22" t="s">
        <v>169</v>
      </c>
      <c r="B19" s="81">
        <v>276.39999999999998</v>
      </c>
      <c r="C19" s="270"/>
      <c r="D19" s="272"/>
    </row>
    <row r="20" spans="1:4" x14ac:dyDescent="0.25">
      <c r="A20" s="22" t="s">
        <v>170</v>
      </c>
      <c r="B20" s="81">
        <v>710</v>
      </c>
      <c r="C20" s="270"/>
      <c r="D20" s="272"/>
    </row>
    <row r="21" spans="1:4" ht="15.75" thickBot="1" x14ac:dyDescent="0.3">
      <c r="A21" s="80" t="s">
        <v>362</v>
      </c>
      <c r="B21" s="341">
        <f>B19/B20</f>
        <v>0.38929577464788728</v>
      </c>
      <c r="C21" s="273"/>
      <c r="D21" s="274"/>
    </row>
    <row r="22" spans="1:4" x14ac:dyDescent="0.25">
      <c r="A22" s="25" t="s">
        <v>363</v>
      </c>
    </row>
    <row r="23" spans="1:4" x14ac:dyDescent="0.25">
      <c r="A23" s="62" t="s">
        <v>168</v>
      </c>
    </row>
    <row r="25" spans="1:4" x14ac:dyDescent="0.25">
      <c r="B25" s="82"/>
      <c r="C25" s="82"/>
      <c r="D25" s="8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0"/>
  <sheetViews>
    <sheetView topLeftCell="C1" workbookViewId="0">
      <selection activeCell="L13" activeCellId="3" sqref="L8 L11 L12 L13"/>
    </sheetView>
  </sheetViews>
  <sheetFormatPr defaultColWidth="9.140625" defaultRowHeight="15" x14ac:dyDescent="0.25"/>
  <cols>
    <col min="1" max="1" width="57.85546875" style="59" bestFit="1" customWidth="1"/>
    <col min="2" max="2" width="11.5703125" style="59" bestFit="1" customWidth="1"/>
    <col min="3" max="3" width="15.28515625" style="59" bestFit="1" customWidth="1"/>
    <col min="4" max="4" width="13" style="59" bestFit="1" customWidth="1"/>
    <col min="5" max="5" width="12.5703125" style="59" bestFit="1" customWidth="1"/>
    <col min="6" max="6" width="12.42578125" style="59" bestFit="1" customWidth="1"/>
    <col min="7" max="7" width="16.28515625" style="59" bestFit="1" customWidth="1"/>
    <col min="8" max="8" width="14.28515625" style="59" bestFit="1" customWidth="1"/>
    <col min="9" max="9" width="12.42578125" style="59" bestFit="1" customWidth="1"/>
    <col min="10" max="10" width="12.5703125" style="59" bestFit="1" customWidth="1"/>
    <col min="11" max="11" width="12.28515625" style="59" customWidth="1"/>
    <col min="12" max="12" width="14.28515625" style="59" bestFit="1" customWidth="1"/>
    <col min="13" max="13" width="2.42578125" style="59" customWidth="1"/>
    <col min="14" max="14" width="14.42578125" style="59" customWidth="1"/>
    <col min="15" max="15" width="17.42578125" style="59" customWidth="1"/>
    <col min="16" max="16" width="17.85546875" style="59" bestFit="1" customWidth="1"/>
    <col min="17" max="16384" width="9.140625" style="59"/>
  </cols>
  <sheetData>
    <row r="1" spans="1:16" ht="16.5" x14ac:dyDescent="0.3">
      <c r="A1" s="302" t="s">
        <v>299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</row>
    <row r="2" spans="1:16" ht="16.5" x14ac:dyDescent="0.3">
      <c r="A2" s="302" t="s">
        <v>300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1:16" ht="16.5" x14ac:dyDescent="0.3">
      <c r="A3" s="304" t="s">
        <v>301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N3" s="67"/>
    </row>
    <row r="4" spans="1:16" ht="16.5" x14ac:dyDescent="0.3">
      <c r="A4" s="303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N4" s="67"/>
    </row>
    <row r="5" spans="1:16" ht="16.5" x14ac:dyDescent="0.3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5" t="s">
        <v>302</v>
      </c>
    </row>
    <row r="6" spans="1:16" ht="17.25" thickBot="1" x14ac:dyDescent="0.35">
      <c r="B6" s="423" t="s">
        <v>303</v>
      </c>
      <c r="C6" s="423" t="s">
        <v>304</v>
      </c>
      <c r="D6" s="423" t="s">
        <v>305</v>
      </c>
      <c r="E6" s="423" t="s">
        <v>306</v>
      </c>
      <c r="F6" s="430" t="s">
        <v>307</v>
      </c>
      <c r="G6" s="455" t="s">
        <v>382</v>
      </c>
      <c r="H6" s="455"/>
      <c r="I6" s="455"/>
      <c r="J6" s="455"/>
      <c r="K6" s="455"/>
      <c r="P6" s="223"/>
    </row>
    <row r="7" spans="1:16" ht="16.5" x14ac:dyDescent="0.3">
      <c r="A7" s="241" t="s">
        <v>378</v>
      </c>
      <c r="B7" s="306">
        <v>2014</v>
      </c>
      <c r="C7" s="306">
        <v>2015</v>
      </c>
      <c r="D7" s="306">
        <v>2016</v>
      </c>
      <c r="E7" s="306">
        <v>2017</v>
      </c>
      <c r="F7" s="306">
        <v>2018</v>
      </c>
      <c r="G7" s="306">
        <v>2019</v>
      </c>
      <c r="H7" s="306">
        <v>2020</v>
      </c>
      <c r="I7" s="306">
        <v>2021</v>
      </c>
      <c r="J7" s="306">
        <v>2022</v>
      </c>
      <c r="K7" s="307">
        <v>2023</v>
      </c>
      <c r="L7" s="59" t="s">
        <v>1</v>
      </c>
      <c r="N7" s="223"/>
      <c r="O7" s="313" t="s">
        <v>2</v>
      </c>
      <c r="P7" s="84" t="s">
        <v>298</v>
      </c>
    </row>
    <row r="8" spans="1:16" x14ac:dyDescent="0.25">
      <c r="A8" s="59" t="s">
        <v>171</v>
      </c>
      <c r="B8" s="425"/>
      <c r="C8" s="425"/>
      <c r="D8" s="425"/>
      <c r="E8" s="425">
        <v>2308233.7453999999</v>
      </c>
      <c r="F8" s="425">
        <v>24623637.03125</v>
      </c>
      <c r="G8" s="425">
        <v>201531291.1287131</v>
      </c>
      <c r="H8" s="425">
        <v>83992045.60861215</v>
      </c>
      <c r="I8" s="425">
        <v>42716903.643313259</v>
      </c>
      <c r="J8" s="425">
        <f>24185101.8448699</f>
        <v>24185101.8448699</v>
      </c>
      <c r="K8" s="425">
        <v>12092461.501094945</v>
      </c>
      <c r="L8" s="427">
        <f>SUM(B8:K8)</f>
        <v>391449674.5032534</v>
      </c>
      <c r="N8" s="224"/>
      <c r="O8" s="22">
        <v>2014</v>
      </c>
      <c r="P8" s="428">
        <f>B15</f>
        <v>1179401.4612</v>
      </c>
    </row>
    <row r="9" spans="1:16" x14ac:dyDescent="0.25">
      <c r="A9" s="59" t="s">
        <v>379</v>
      </c>
      <c r="B9" s="425">
        <v>1131646</v>
      </c>
      <c r="C9" s="425">
        <v>991596</v>
      </c>
      <c r="D9" s="425">
        <v>143579</v>
      </c>
      <c r="E9" s="425">
        <f>2309599.4977+475780.83</f>
        <v>2785380.3277000003</v>
      </c>
      <c r="F9" s="425">
        <f>17666007.15995+2036045.18</f>
        <v>19702052.339949999</v>
      </c>
      <c r="G9" s="425">
        <f>24248788.8854672+1523574</f>
        <v>25772362.885467201</v>
      </c>
      <c r="H9" s="425">
        <v>16765570.553640814</v>
      </c>
      <c r="I9" s="425">
        <f>1945923.35717047+14541750+3545528.09</f>
        <v>20033201.44717047</v>
      </c>
      <c r="J9" s="425">
        <f>6838978.00944847+14541750+3545528.09</f>
        <v>24926256.099448469</v>
      </c>
      <c r="K9" s="425">
        <v>9807046.5425203163</v>
      </c>
      <c r="L9" s="427">
        <f>SUM(B9:K9)</f>
        <v>122058691.19589727</v>
      </c>
      <c r="N9" s="223"/>
      <c r="O9" s="22">
        <v>2015</v>
      </c>
      <c r="P9" s="428">
        <f>C15</f>
        <v>22144054.442666665</v>
      </c>
    </row>
    <row r="10" spans="1:16" ht="15.75" customHeight="1" x14ac:dyDescent="0.25">
      <c r="A10" s="59" t="s">
        <v>380</v>
      </c>
      <c r="B10" s="425"/>
      <c r="C10" s="425"/>
      <c r="D10" s="425"/>
      <c r="E10" s="425"/>
      <c r="F10" s="425"/>
      <c r="G10" s="425"/>
      <c r="H10" s="425"/>
      <c r="I10" s="425"/>
      <c r="J10" s="425"/>
      <c r="K10" s="425"/>
      <c r="L10" s="427"/>
      <c r="N10" s="223"/>
      <c r="O10" s="22">
        <v>2016</v>
      </c>
      <c r="P10" s="428">
        <f>D15</f>
        <v>293807.35533333337</v>
      </c>
    </row>
    <row r="11" spans="1:16" ht="15.75" customHeight="1" x14ac:dyDescent="0.25">
      <c r="A11" s="424" t="s">
        <v>273</v>
      </c>
      <c r="B11" s="425"/>
      <c r="C11" s="425">
        <f>20441600-100000</f>
        <v>20341600</v>
      </c>
      <c r="D11" s="425"/>
      <c r="E11" s="425"/>
      <c r="F11" s="425"/>
      <c r="G11" s="425"/>
      <c r="H11" s="425">
        <v>100000</v>
      </c>
      <c r="I11" s="425"/>
      <c r="J11" s="425"/>
      <c r="K11" s="425"/>
      <c r="L11" s="427">
        <f>SUM(B11:K11)</f>
        <v>20441600</v>
      </c>
      <c r="N11" s="223"/>
      <c r="O11" s="22">
        <v>2017</v>
      </c>
      <c r="P11" s="428">
        <f>E15</f>
        <v>5238647.4064333336</v>
      </c>
    </row>
    <row r="12" spans="1:16" x14ac:dyDescent="0.25">
      <c r="A12" s="424" t="s">
        <v>272</v>
      </c>
      <c r="B12" s="425"/>
      <c r="C12" s="425">
        <f>435100/3</f>
        <v>145033.33333333334</v>
      </c>
      <c r="D12" s="425">
        <f>435100/3</f>
        <v>145033.33333333334</v>
      </c>
      <c r="E12" s="425">
        <f>435100/3</f>
        <v>145033.33333333334</v>
      </c>
      <c r="F12" s="425"/>
      <c r="G12" s="425"/>
      <c r="H12" s="425"/>
      <c r="I12" s="425"/>
      <c r="J12" s="425"/>
      <c r="K12" s="425"/>
      <c r="L12" s="427">
        <f>SUM(B12:K12)</f>
        <v>435100</v>
      </c>
      <c r="N12" s="223"/>
      <c r="O12" s="22">
        <v>2018</v>
      </c>
      <c r="P12" s="428">
        <f>F15</f>
        <v>43426330.075339705</v>
      </c>
    </row>
    <row r="13" spans="1:16" x14ac:dyDescent="0.25">
      <c r="A13" s="424" t="s">
        <v>346</v>
      </c>
      <c r="B13" s="425"/>
      <c r="C13" s="425"/>
      <c r="D13" s="425"/>
      <c r="E13" s="425"/>
      <c r="F13" s="425"/>
      <c r="G13" s="425">
        <f>4351000/2</f>
        <v>2175500</v>
      </c>
      <c r="H13" s="425">
        <f>4351000/2</f>
        <v>2175500</v>
      </c>
      <c r="I13" s="425"/>
      <c r="J13" s="425"/>
      <c r="K13" s="425"/>
      <c r="L13" s="427">
        <f>SUM(B13:K13)</f>
        <v>4351000</v>
      </c>
      <c r="N13" s="137"/>
      <c r="O13" s="22">
        <v>2019</v>
      </c>
      <c r="P13" s="428">
        <f>G15</f>
        <v>221389578.80465811</v>
      </c>
    </row>
    <row r="14" spans="1:16" x14ac:dyDescent="0.25">
      <c r="A14" s="426" t="s">
        <v>1</v>
      </c>
      <c r="B14" s="425">
        <f>SUM(B11:B13)+B9+B8</f>
        <v>1131646</v>
      </c>
      <c r="C14" s="425">
        <f t="shared" ref="C14:K14" si="0">SUM(C11:C13)+C9+C8</f>
        <v>21478229.333333332</v>
      </c>
      <c r="D14" s="425">
        <f t="shared" si="0"/>
        <v>288612.33333333337</v>
      </c>
      <c r="E14" s="425">
        <f t="shared" si="0"/>
        <v>5238647.4064333336</v>
      </c>
      <c r="F14" s="425">
        <f t="shared" si="0"/>
        <v>44325689.371199995</v>
      </c>
      <c r="G14" s="425">
        <f t="shared" si="0"/>
        <v>229479154.0141803</v>
      </c>
      <c r="H14" s="425">
        <f t="shared" si="0"/>
        <v>103033116.16225296</v>
      </c>
      <c r="I14" s="425">
        <f t="shared" si="0"/>
        <v>62750105.090483725</v>
      </c>
      <c r="J14" s="425">
        <f t="shared" si="0"/>
        <v>49111357.944318369</v>
      </c>
      <c r="K14" s="425">
        <f t="shared" si="0"/>
        <v>21899508.043615259</v>
      </c>
      <c r="L14" s="427">
        <f>SUM(B14:K14)</f>
        <v>538736065.69915056</v>
      </c>
      <c r="N14" s="137"/>
      <c r="O14" s="22">
        <v>2020</v>
      </c>
      <c r="P14" s="428">
        <f>H15</f>
        <v>99401003.494561687</v>
      </c>
    </row>
    <row r="15" spans="1:16" x14ac:dyDescent="0.25">
      <c r="A15" s="426" t="s">
        <v>381</v>
      </c>
      <c r="B15" s="427">
        <f>B14*'Inflation Adjustment'!C17</f>
        <v>1179401.4612</v>
      </c>
      <c r="C15" s="425">
        <f>C14*'Inflation Adjustment'!C18</f>
        <v>22144054.442666665</v>
      </c>
      <c r="D15" s="427">
        <f>D14*'Inflation Adjustment'!C19</f>
        <v>293807.35533333337</v>
      </c>
      <c r="E15" s="427">
        <f>E14</f>
        <v>5238647.4064333336</v>
      </c>
      <c r="F15" s="427">
        <f>F14*'Inflation Adjustment'!$C$28</f>
        <v>43426330.075339705</v>
      </c>
      <c r="G15" s="427">
        <f>G14*'Inflation Adjustment'!$C$29</f>
        <v>221389578.80465811</v>
      </c>
      <c r="H15" s="427">
        <f>H14*'Inflation Adjustment'!$C$29</f>
        <v>99401003.494561687</v>
      </c>
      <c r="I15" s="427">
        <f>I14*'Inflation Adjustment'!$C$29</f>
        <v>60538044.92878589</v>
      </c>
      <c r="J15" s="427">
        <f>J14*'Inflation Adjustment'!$C$29</f>
        <v>47380089.474905327</v>
      </c>
      <c r="K15" s="427">
        <f>K14*'Inflation Adjustment'!$C$29</f>
        <v>21127508.869522892</v>
      </c>
      <c r="L15" s="427">
        <f>SUM(B15:K15)</f>
        <v>522118466.31340694</v>
      </c>
      <c r="N15" s="137"/>
      <c r="O15" s="22">
        <v>2021</v>
      </c>
      <c r="P15" s="428">
        <f>I15</f>
        <v>60538044.92878589</v>
      </c>
    </row>
    <row r="16" spans="1:16" x14ac:dyDescent="0.25">
      <c r="N16" s="137"/>
      <c r="O16" s="22">
        <v>2022</v>
      </c>
      <c r="P16" s="428">
        <f>J15</f>
        <v>47380089.474905327</v>
      </c>
    </row>
    <row r="17" spans="7:17" x14ac:dyDescent="0.25">
      <c r="N17" s="137"/>
      <c r="O17" s="64">
        <v>2023</v>
      </c>
      <c r="P17" s="429">
        <f>K15</f>
        <v>21127508.869522892</v>
      </c>
    </row>
    <row r="18" spans="7:17" ht="15.75" thickBot="1" x14ac:dyDescent="0.3">
      <c r="L18" s="431"/>
      <c r="N18" s="137"/>
      <c r="O18" s="311" t="s">
        <v>309</v>
      </c>
      <c r="P18" s="315">
        <f>SUM(P8:P17)</f>
        <v>522118466.31340694</v>
      </c>
    </row>
    <row r="19" spans="7:17" x14ac:dyDescent="0.25">
      <c r="G19" s="427"/>
      <c r="O19" s="317" t="s">
        <v>394</v>
      </c>
      <c r="P19" s="316">
        <f>0.005*P18</f>
        <v>2610592.3315670346</v>
      </c>
      <c r="Q19" s="59" t="s">
        <v>222</v>
      </c>
    </row>
    <row r="20" spans="7:17" x14ac:dyDescent="0.25">
      <c r="G20" s="431"/>
    </row>
  </sheetData>
  <mergeCells count="1">
    <mergeCell ref="G6:K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5"/>
  <sheetViews>
    <sheetView topLeftCell="A10" workbookViewId="0">
      <selection activeCell="E22" sqref="E22"/>
    </sheetView>
  </sheetViews>
  <sheetFormatPr defaultColWidth="9.140625" defaultRowHeight="15" x14ac:dyDescent="0.25"/>
  <cols>
    <col min="1" max="1" width="31.85546875" style="86" customWidth="1"/>
    <col min="2" max="2" width="13.85546875" style="86" bestFit="1" customWidth="1"/>
    <col min="3" max="3" width="15.28515625" style="86" bestFit="1" customWidth="1"/>
    <col min="4" max="4" width="22" style="86" customWidth="1"/>
    <col min="5" max="5" width="12.7109375" style="86" bestFit="1" customWidth="1"/>
    <col min="6" max="6" width="14.140625" style="86" bestFit="1" customWidth="1"/>
    <col min="7" max="7" width="15.7109375" style="86" bestFit="1" customWidth="1"/>
    <col min="8" max="8" width="14.85546875" style="86" bestFit="1" customWidth="1"/>
    <col min="9" max="9" width="15.7109375" style="86" bestFit="1" customWidth="1"/>
    <col min="10" max="10" width="15.28515625" style="86" bestFit="1" customWidth="1"/>
    <col min="11" max="11" width="14.140625" style="86" bestFit="1" customWidth="1"/>
    <col min="12" max="12" width="15.7109375" style="86" bestFit="1" customWidth="1"/>
    <col min="13" max="13" width="14.85546875" style="86" bestFit="1" customWidth="1"/>
    <col min="14" max="16384" width="9.140625" style="86"/>
  </cols>
  <sheetData>
    <row r="1" spans="1:12" ht="15.75" x14ac:dyDescent="0.25">
      <c r="A1" s="456" t="s">
        <v>102</v>
      </c>
      <c r="B1" s="457"/>
      <c r="C1" s="457"/>
      <c r="D1" s="458"/>
    </row>
    <row r="2" spans="1:12" x14ac:dyDescent="0.25">
      <c r="A2" s="87"/>
      <c r="B2" s="88" t="s">
        <v>4</v>
      </c>
      <c r="C2" s="88" t="s">
        <v>5</v>
      </c>
      <c r="D2" s="31" t="s">
        <v>107</v>
      </c>
    </row>
    <row r="3" spans="1:12" ht="30" x14ac:dyDescent="0.25">
      <c r="A3" s="87" t="s">
        <v>103</v>
      </c>
      <c r="B3" s="71">
        <v>2</v>
      </c>
      <c r="C3" s="89" t="s">
        <v>104</v>
      </c>
      <c r="D3" s="90" t="s">
        <v>221</v>
      </c>
    </row>
    <row r="4" spans="1:12" ht="30" x14ac:dyDescent="0.25">
      <c r="A4" s="91" t="s">
        <v>105</v>
      </c>
      <c r="B4" s="32">
        <v>3</v>
      </c>
      <c r="C4" s="89" t="s">
        <v>194</v>
      </c>
      <c r="D4" s="90" t="s">
        <v>220</v>
      </c>
    </row>
    <row r="5" spans="1:12" ht="15.75" thickBot="1" x14ac:dyDescent="0.3">
      <c r="A5" s="92" t="s">
        <v>106</v>
      </c>
      <c r="B5" s="33">
        <f>8000/53</f>
        <v>150.9433962264151</v>
      </c>
      <c r="C5" s="93" t="s">
        <v>195</v>
      </c>
      <c r="D5" s="94" t="s">
        <v>214</v>
      </c>
    </row>
    <row r="6" spans="1:12" ht="15.75" thickBot="1" x14ac:dyDescent="0.3">
      <c r="A6" s="71"/>
      <c r="B6" s="95"/>
      <c r="C6" s="71"/>
      <c r="D6" s="71"/>
    </row>
    <row r="7" spans="1:12" x14ac:dyDescent="0.25">
      <c r="A7" s="34"/>
      <c r="B7" s="96" t="s">
        <v>4</v>
      </c>
      <c r="C7" s="97" t="s">
        <v>5</v>
      </c>
      <c r="D7" s="98" t="s">
        <v>107</v>
      </c>
    </row>
    <row r="8" spans="1:12" ht="60" x14ac:dyDescent="0.25">
      <c r="A8" s="91" t="s">
        <v>52</v>
      </c>
      <c r="B8" s="71">
        <f>40*0.95</f>
        <v>38</v>
      </c>
      <c r="C8" s="71" t="s">
        <v>50</v>
      </c>
      <c r="D8" s="90" t="s">
        <v>219</v>
      </c>
    </row>
    <row r="9" spans="1:12" ht="30.75" thickBot="1" x14ac:dyDescent="0.3">
      <c r="A9" s="92" t="s">
        <v>198</v>
      </c>
      <c r="B9" s="205">
        <v>56.2</v>
      </c>
      <c r="C9" s="205" t="s">
        <v>50</v>
      </c>
      <c r="D9" s="94" t="s">
        <v>210</v>
      </c>
    </row>
    <row r="10" spans="1:12" ht="15.75" thickBot="1" x14ac:dyDescent="0.3">
      <c r="A10" s="71"/>
      <c r="B10" s="89"/>
      <c r="C10" s="28"/>
      <c r="D10" s="89"/>
    </row>
    <row r="11" spans="1:12" ht="15.75" x14ac:dyDescent="0.25">
      <c r="A11" s="30" t="s">
        <v>108</v>
      </c>
      <c r="B11" s="99"/>
      <c r="C11" s="99"/>
      <c r="D11" s="99"/>
      <c r="E11" s="99"/>
      <c r="F11" s="99"/>
      <c r="G11" s="99"/>
      <c r="H11" s="100"/>
    </row>
    <row r="12" spans="1:12" x14ac:dyDescent="0.25">
      <c r="A12" s="87"/>
      <c r="B12" s="71"/>
      <c r="C12" s="71"/>
      <c r="D12" s="71"/>
      <c r="E12" s="71"/>
      <c r="F12" s="71"/>
      <c r="G12" s="71"/>
      <c r="H12" s="101"/>
    </row>
    <row r="13" spans="1:12" x14ac:dyDescent="0.25">
      <c r="A13" s="87"/>
      <c r="B13" s="461" t="s">
        <v>109</v>
      </c>
      <c r="C13" s="459"/>
      <c r="D13" s="460"/>
      <c r="E13" s="461" t="s">
        <v>110</v>
      </c>
      <c r="F13" s="459"/>
      <c r="G13" s="460"/>
      <c r="H13" s="31" t="s">
        <v>53</v>
      </c>
    </row>
    <row r="14" spans="1:12" x14ac:dyDescent="0.25">
      <c r="A14" s="102" t="s">
        <v>3</v>
      </c>
      <c r="B14" s="103" t="s">
        <v>128</v>
      </c>
      <c r="C14" s="104" t="s">
        <v>129</v>
      </c>
      <c r="D14" s="105" t="s">
        <v>140</v>
      </c>
      <c r="E14" s="103" t="s">
        <v>128</v>
      </c>
      <c r="F14" s="104" t="s">
        <v>129</v>
      </c>
      <c r="G14" s="105" t="s">
        <v>140</v>
      </c>
      <c r="H14" s="101" t="s">
        <v>214</v>
      </c>
    </row>
    <row r="15" spans="1:12" x14ac:dyDescent="0.25">
      <c r="A15" s="91" t="s">
        <v>115</v>
      </c>
      <c r="B15" s="106">
        <v>40</v>
      </c>
      <c r="C15" s="71">
        <v>225</v>
      </c>
      <c r="D15" s="107">
        <v>645</v>
      </c>
      <c r="E15" s="108">
        <f>'Without Project Port Usage'!B10</f>
        <v>148.1</v>
      </c>
      <c r="F15" s="79">
        <f>'Without Project Port Usage'!B21</f>
        <v>243.25</v>
      </c>
      <c r="G15" s="109">
        <f>'Without Project Port Usage'!B32</f>
        <v>273.09999999999997</v>
      </c>
      <c r="H15" s="101" t="s">
        <v>366</v>
      </c>
      <c r="I15" s="203"/>
      <c r="J15" s="203"/>
      <c r="K15" s="203"/>
      <c r="L15" s="203"/>
    </row>
    <row r="16" spans="1:12" x14ac:dyDescent="0.25">
      <c r="A16" s="91" t="s">
        <v>114</v>
      </c>
      <c r="B16" s="106">
        <f>60*0.9</f>
        <v>54</v>
      </c>
      <c r="C16" s="110">
        <f>C15*60/C17</f>
        <v>68.947906026557703</v>
      </c>
      <c r="D16" s="111">
        <f>D15*60/D17</f>
        <v>67.787703625853908</v>
      </c>
      <c r="E16" s="108">
        <f>'Without Project Port Usage'!D10</f>
        <v>50.672539560251423</v>
      </c>
      <c r="F16" s="79">
        <f>'Without Project Port Usage'!D21</f>
        <v>62.038318427132722</v>
      </c>
      <c r="G16" s="109">
        <f>'Without Project Port Usage'!D32</f>
        <v>59.168962350780525</v>
      </c>
      <c r="H16" s="101" t="s">
        <v>218</v>
      </c>
    </row>
    <row r="17" spans="1:9" x14ac:dyDescent="0.25">
      <c r="A17" s="91" t="s">
        <v>116</v>
      </c>
      <c r="B17" s="112">
        <f>B15*60/B16</f>
        <v>44.444444444444443</v>
      </c>
      <c r="C17" s="113">
        <f>(2*60+58)*1.1</f>
        <v>195.8</v>
      </c>
      <c r="D17" s="114">
        <f>(8*60+39)*1.1</f>
        <v>570.90000000000009</v>
      </c>
      <c r="E17" s="115">
        <f>'Without Project Port Usage'!C10</f>
        <v>152.85500000000002</v>
      </c>
      <c r="F17" s="116">
        <f>'Without Project Port Usage'!C21</f>
        <v>235.78500000000003</v>
      </c>
      <c r="G17" s="117">
        <f>'Without Project Port Usage'!C32</f>
        <v>275.60500000000002</v>
      </c>
      <c r="H17" s="101"/>
    </row>
    <row r="18" spans="1:9" x14ac:dyDescent="0.25">
      <c r="A18" s="87"/>
      <c r="B18" s="71"/>
      <c r="C18" s="71"/>
      <c r="D18" s="71"/>
      <c r="E18" s="71"/>
      <c r="F18" s="71"/>
      <c r="G18" s="71"/>
      <c r="H18" s="101"/>
    </row>
    <row r="19" spans="1:9" x14ac:dyDescent="0.25">
      <c r="A19" s="87"/>
      <c r="B19" s="461" t="s">
        <v>109</v>
      </c>
      <c r="C19" s="459"/>
      <c r="D19" s="460"/>
      <c r="E19" s="459" t="s">
        <v>110</v>
      </c>
      <c r="F19" s="459"/>
      <c r="G19" s="460"/>
      <c r="H19" s="31" t="s">
        <v>53</v>
      </c>
    </row>
    <row r="20" spans="1:9" x14ac:dyDescent="0.25">
      <c r="A20" s="102" t="s">
        <v>125</v>
      </c>
      <c r="B20" s="103" t="s">
        <v>149</v>
      </c>
      <c r="C20" s="104" t="s">
        <v>150</v>
      </c>
      <c r="D20" s="105" t="s">
        <v>140</v>
      </c>
      <c r="E20" s="104" t="s">
        <v>128</v>
      </c>
      <c r="F20" s="104" t="s">
        <v>129</v>
      </c>
      <c r="G20" s="105" t="s">
        <v>140</v>
      </c>
      <c r="H20" s="101" t="s">
        <v>214</v>
      </c>
    </row>
    <row r="21" spans="1:9" x14ac:dyDescent="0.25">
      <c r="A21" s="91" t="s">
        <v>111</v>
      </c>
      <c r="B21" s="48">
        <v>0</v>
      </c>
      <c r="C21" s="28">
        <v>0</v>
      </c>
      <c r="D21" s="51">
        <f>D15</f>
        <v>645</v>
      </c>
      <c r="E21" s="118">
        <f>'Without Project Port Usage'!H10</f>
        <v>1532.7</v>
      </c>
      <c r="F21" s="118">
        <f>'Without Project Port Usage'!H21</f>
        <v>1536.8</v>
      </c>
      <c r="G21" s="119">
        <f>'Without Project Port Usage'!H32</f>
        <v>856</v>
      </c>
      <c r="H21" s="101" t="s">
        <v>366</v>
      </c>
    </row>
    <row r="22" spans="1:9" x14ac:dyDescent="0.25">
      <c r="A22" s="91" t="s">
        <v>112</v>
      </c>
      <c r="B22" s="48">
        <v>0</v>
      </c>
      <c r="C22" s="28">
        <v>0</v>
      </c>
      <c r="D22" s="51">
        <v>31</v>
      </c>
      <c r="E22" s="79">
        <f>'Without Project Port Usage'!J10</f>
        <v>31</v>
      </c>
      <c r="F22" s="79">
        <f>'Without Project Port Usage'!J21</f>
        <v>31.000000000000004</v>
      </c>
      <c r="G22" s="109">
        <f>'Without Project Port Usage'!J32</f>
        <v>31</v>
      </c>
      <c r="H22" s="101" t="s">
        <v>218</v>
      </c>
    </row>
    <row r="23" spans="1:9" x14ac:dyDescent="0.25">
      <c r="A23" s="91" t="s">
        <v>113</v>
      </c>
      <c r="B23" s="49">
        <v>0</v>
      </c>
      <c r="C23" s="50">
        <v>0</v>
      </c>
      <c r="D23" s="120">
        <f>D21*60/D22</f>
        <v>1248.3870967741937</v>
      </c>
      <c r="E23" s="116">
        <f>'Without Project Port Usage'!I10</f>
        <v>2966.516129032258</v>
      </c>
      <c r="F23" s="116">
        <f>'Without Project Port Usage'!I21</f>
        <v>2974.4516129032259</v>
      </c>
      <c r="G23" s="117">
        <f>'Without Project Port Usage'!I32</f>
        <v>1656.7741935483871</v>
      </c>
      <c r="H23" s="101"/>
    </row>
    <row r="24" spans="1:9" x14ac:dyDescent="0.25">
      <c r="A24" s="121" t="s">
        <v>151</v>
      </c>
      <c r="B24" s="122"/>
      <c r="C24" s="122"/>
      <c r="D24" s="122"/>
      <c r="E24" s="122"/>
      <c r="F24" s="71"/>
      <c r="G24" s="71"/>
      <c r="H24" s="101"/>
    </row>
    <row r="25" spans="1:9" x14ac:dyDescent="0.25">
      <c r="A25" s="87"/>
      <c r="B25" s="71"/>
      <c r="C25" s="71"/>
      <c r="D25" s="71"/>
      <c r="E25" s="71"/>
      <c r="F25" s="71"/>
      <c r="G25" s="71"/>
      <c r="H25" s="31" t="s">
        <v>53</v>
      </c>
    </row>
    <row r="26" spans="1:9" x14ac:dyDescent="0.25">
      <c r="A26" s="87"/>
      <c r="B26" s="461" t="s">
        <v>228</v>
      </c>
      <c r="C26" s="459"/>
      <c r="D26" s="460"/>
      <c r="E26" s="461" t="s">
        <v>229</v>
      </c>
      <c r="F26" s="459"/>
      <c r="G26" s="460"/>
      <c r="H26" s="101" t="s">
        <v>214</v>
      </c>
      <c r="I26" s="89"/>
    </row>
    <row r="27" spans="1:9" x14ac:dyDescent="0.25">
      <c r="A27" s="87" t="s">
        <v>130</v>
      </c>
      <c r="B27" s="103" t="s">
        <v>128</v>
      </c>
      <c r="C27" s="104" t="s">
        <v>129</v>
      </c>
      <c r="D27" s="105" t="s">
        <v>140</v>
      </c>
      <c r="E27" s="103" t="s">
        <v>128</v>
      </c>
      <c r="F27" s="104" t="s">
        <v>129</v>
      </c>
      <c r="G27" s="105" t="s">
        <v>140</v>
      </c>
      <c r="H27" s="101" t="s">
        <v>366</v>
      </c>
    </row>
    <row r="28" spans="1:9" x14ac:dyDescent="0.25">
      <c r="A28" s="87" t="s">
        <v>3</v>
      </c>
      <c r="B28" s="123">
        <f>(1-D29)*0.7</f>
        <v>0.61319999999999997</v>
      </c>
      <c r="C28" s="124">
        <f>(1-D29)*0.25</f>
        <v>0.219</v>
      </c>
      <c r="D28" s="125">
        <f>(1-D29)*0.05</f>
        <v>4.3800000000000006E-2</v>
      </c>
      <c r="E28" s="123">
        <f>B28-E29</f>
        <v>0.52122000000000002</v>
      </c>
      <c r="F28" s="124">
        <f>C28-F29</f>
        <v>0.18615000000000001</v>
      </c>
      <c r="G28" s="125">
        <f>SUM(D28:D29)-G29</f>
        <v>0.13424</v>
      </c>
      <c r="H28" s="101"/>
    </row>
    <row r="29" spans="1:9" x14ac:dyDescent="0.25">
      <c r="A29" s="87" t="s">
        <v>125</v>
      </c>
      <c r="B29" s="126">
        <v>0</v>
      </c>
      <c r="C29" s="127">
        <v>0</v>
      </c>
      <c r="D29" s="128">
        <v>0.124</v>
      </c>
      <c r="E29" s="126">
        <f>E35*B28</f>
        <v>9.1979999999999992E-2</v>
      </c>
      <c r="F29" s="127">
        <f>F35*C28</f>
        <v>3.2849999999999997E-2</v>
      </c>
      <c r="G29" s="128">
        <f>SUM(D28:D29)*G35</f>
        <v>3.356E-2</v>
      </c>
      <c r="H29" s="101"/>
    </row>
    <row r="30" spans="1:9" x14ac:dyDescent="0.25">
      <c r="A30" s="91"/>
      <c r="B30" s="71"/>
      <c r="C30" s="71"/>
      <c r="D30" s="71"/>
      <c r="E30" s="71"/>
      <c r="F30" s="71"/>
      <c r="G30" s="71"/>
      <c r="H30" s="101"/>
    </row>
    <row r="31" spans="1:9" x14ac:dyDescent="0.25">
      <c r="A31" s="87"/>
      <c r="B31" s="71"/>
      <c r="C31" s="71"/>
      <c r="D31" s="71"/>
      <c r="E31" s="71"/>
      <c r="F31" s="71"/>
      <c r="G31" s="71"/>
      <c r="H31" s="31" t="s">
        <v>53</v>
      </c>
    </row>
    <row r="32" spans="1:9" x14ac:dyDescent="0.25">
      <c r="A32" s="87"/>
      <c r="B32" s="464" t="s">
        <v>227</v>
      </c>
      <c r="C32" s="462"/>
      <c r="D32" s="463"/>
      <c r="E32" s="462" t="s">
        <v>230</v>
      </c>
      <c r="F32" s="462"/>
      <c r="G32" s="463"/>
      <c r="H32" s="101" t="s">
        <v>214</v>
      </c>
    </row>
    <row r="33" spans="1:8" x14ac:dyDescent="0.25">
      <c r="A33" s="87" t="s">
        <v>226</v>
      </c>
      <c r="B33" s="103" t="s">
        <v>128</v>
      </c>
      <c r="C33" s="104" t="s">
        <v>129</v>
      </c>
      <c r="D33" s="105" t="s">
        <v>140</v>
      </c>
      <c r="E33" s="104" t="s">
        <v>128</v>
      </c>
      <c r="F33" s="104" t="s">
        <v>129</v>
      </c>
      <c r="G33" s="105" t="s">
        <v>140</v>
      </c>
      <c r="H33" s="101" t="s">
        <v>366</v>
      </c>
    </row>
    <row r="34" spans="1:8" x14ac:dyDescent="0.25">
      <c r="A34" s="87" t="s">
        <v>3</v>
      </c>
      <c r="B34" s="129">
        <f>1-B35</f>
        <v>1</v>
      </c>
      <c r="C34" s="130">
        <f>1-C35</f>
        <v>1</v>
      </c>
      <c r="D34" s="131">
        <v>0.26</v>
      </c>
      <c r="E34" s="130">
        <v>0.85</v>
      </c>
      <c r="F34" s="130">
        <v>0.85</v>
      </c>
      <c r="G34" s="131">
        <v>0.8</v>
      </c>
      <c r="H34" s="101"/>
    </row>
    <row r="35" spans="1:8" ht="15.75" thickBot="1" x14ac:dyDescent="0.3">
      <c r="A35" s="132" t="s">
        <v>125</v>
      </c>
      <c r="B35" s="133">
        <v>0</v>
      </c>
      <c r="C35" s="134">
        <v>0</v>
      </c>
      <c r="D35" s="135">
        <v>0.74</v>
      </c>
      <c r="E35" s="134">
        <v>0.15</v>
      </c>
      <c r="F35" s="134">
        <v>0.15</v>
      </c>
      <c r="G35" s="135">
        <v>0.2</v>
      </c>
      <c r="H35" s="136"/>
    </row>
  </sheetData>
  <mergeCells count="9">
    <mergeCell ref="A1:D1"/>
    <mergeCell ref="E19:G19"/>
    <mergeCell ref="B19:D19"/>
    <mergeCell ref="E32:G32"/>
    <mergeCell ref="B32:D32"/>
    <mergeCell ref="E26:G26"/>
    <mergeCell ref="B26:D26"/>
    <mergeCell ref="E13:G13"/>
    <mergeCell ref="B13:D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7"/>
  <sheetViews>
    <sheetView topLeftCell="A19" zoomScale="90" zoomScaleNormal="90" workbookViewId="0">
      <selection activeCell="A36" sqref="A36"/>
    </sheetView>
  </sheetViews>
  <sheetFormatPr defaultColWidth="9.140625" defaultRowHeight="15" x14ac:dyDescent="0.25"/>
  <cols>
    <col min="1" max="1" width="22.42578125" style="59" customWidth="1"/>
    <col min="2" max="2" width="14" style="59" customWidth="1"/>
    <col min="3" max="3" width="15" style="59" customWidth="1"/>
    <col min="4" max="4" width="18" style="59" customWidth="1"/>
    <col min="5" max="5" width="10.140625" style="59" customWidth="1"/>
    <col min="6" max="6" width="9.140625" style="59"/>
    <col min="7" max="7" width="22.5703125" style="59" bestFit="1" customWidth="1"/>
    <col min="8" max="8" width="12.42578125" style="59" customWidth="1"/>
    <col min="9" max="9" width="14.7109375" style="59" customWidth="1"/>
    <col min="10" max="10" width="18.42578125" style="59" customWidth="1"/>
    <col min="11" max="11" width="9.7109375" style="59" customWidth="1"/>
    <col min="12" max="16384" width="9.140625" style="59"/>
  </cols>
  <sheetData>
    <row r="1" spans="1:11" x14ac:dyDescent="0.25">
      <c r="A1" s="466" t="s">
        <v>178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</row>
    <row r="2" spans="1:11" s="137" customFormat="1" ht="30" x14ac:dyDescent="0.25">
      <c r="A2" s="46" t="s">
        <v>187</v>
      </c>
      <c r="B2" s="47" t="s">
        <v>179</v>
      </c>
      <c r="C2" s="47" t="s">
        <v>180</v>
      </c>
      <c r="D2" s="47" t="s">
        <v>181</v>
      </c>
      <c r="E2" s="47" t="s">
        <v>182</v>
      </c>
      <c r="F2" s="465"/>
      <c r="G2" s="46" t="s">
        <v>188</v>
      </c>
      <c r="H2" s="47" t="s">
        <v>183</v>
      </c>
      <c r="I2" s="47" t="s">
        <v>184</v>
      </c>
      <c r="J2" s="47" t="s">
        <v>185</v>
      </c>
      <c r="K2" s="47" t="s">
        <v>182</v>
      </c>
    </row>
    <row r="3" spans="1:11" x14ac:dyDescent="0.25">
      <c r="A3" s="401" t="s">
        <v>367</v>
      </c>
      <c r="B3" s="400">
        <v>566</v>
      </c>
      <c r="C3" s="399">
        <f>(8*60+27)*1.1</f>
        <v>557.70000000000005</v>
      </c>
      <c r="D3" s="398">
        <f t="shared" ref="D3:D9" si="0">B3/(C3/60)</f>
        <v>60.892953200645508</v>
      </c>
      <c r="E3" s="397">
        <v>0</v>
      </c>
      <c r="F3" s="465"/>
      <c r="G3" s="401" t="s">
        <v>367</v>
      </c>
      <c r="H3" s="395">
        <f t="shared" ref="H3:H5" si="1">B3</f>
        <v>566</v>
      </c>
      <c r="I3" s="395">
        <f>(H3*60)/J3</f>
        <v>1095.483870967742</v>
      </c>
      <c r="J3" s="400">
        <v>31</v>
      </c>
      <c r="K3" s="397">
        <v>0</v>
      </c>
    </row>
    <row r="4" spans="1:11" x14ac:dyDescent="0.25">
      <c r="A4" s="78" t="s">
        <v>199</v>
      </c>
      <c r="B4" s="138">
        <v>329</v>
      </c>
      <c r="C4" s="138">
        <f>(4*60+48)*1.1</f>
        <v>316.8</v>
      </c>
      <c r="D4" s="139">
        <f t="shared" si="0"/>
        <v>62.310606060606055</v>
      </c>
      <c r="E4" s="140">
        <v>0.3</v>
      </c>
      <c r="F4" s="465"/>
      <c r="G4" s="78" t="s">
        <v>199</v>
      </c>
      <c r="H4" s="138">
        <f>B4</f>
        <v>329</v>
      </c>
      <c r="I4" s="138">
        <f>(H4*60)/J4</f>
        <v>636.77419354838707</v>
      </c>
      <c r="J4" s="139">
        <v>31</v>
      </c>
      <c r="K4" s="140">
        <v>0.35</v>
      </c>
    </row>
    <row r="5" spans="1:11" x14ac:dyDescent="0.25">
      <c r="A5" s="396" t="s">
        <v>368</v>
      </c>
      <c r="B5" s="395">
        <v>1160</v>
      </c>
      <c r="C5" s="395">
        <f>(17*60+24)*1.1</f>
        <v>1148.4000000000001</v>
      </c>
      <c r="D5" s="398">
        <f t="shared" si="0"/>
        <v>60.606060606060602</v>
      </c>
      <c r="E5" s="394">
        <v>0</v>
      </c>
      <c r="F5" s="465"/>
      <c r="G5" s="396" t="s">
        <v>368</v>
      </c>
      <c r="H5" s="395">
        <f t="shared" si="1"/>
        <v>1160</v>
      </c>
      <c r="I5" s="395">
        <f>(H5*60)/J5</f>
        <v>2245.1612903225805</v>
      </c>
      <c r="J5" s="398">
        <v>31</v>
      </c>
      <c r="K5" s="394">
        <v>0</v>
      </c>
    </row>
    <row r="6" spans="1:11" x14ac:dyDescent="0.25">
      <c r="A6" s="396" t="s">
        <v>200</v>
      </c>
      <c r="B6" s="395">
        <v>2722</v>
      </c>
      <c r="C6" s="395">
        <f>39*60*1.1</f>
        <v>2574</v>
      </c>
      <c r="D6" s="398">
        <f t="shared" si="0"/>
        <v>63.449883449883451</v>
      </c>
      <c r="E6" s="394">
        <v>0</v>
      </c>
      <c r="F6" s="465"/>
      <c r="G6" s="78" t="s">
        <v>200</v>
      </c>
      <c r="H6" s="138">
        <v>3079</v>
      </c>
      <c r="I6" s="138">
        <f t="shared" ref="I6:I9" si="2">(H6*60)/J6</f>
        <v>5959.3548387096771</v>
      </c>
      <c r="J6" s="139">
        <v>31</v>
      </c>
      <c r="K6" s="140">
        <v>0.35</v>
      </c>
    </row>
    <row r="7" spans="1:11" x14ac:dyDescent="0.25">
      <c r="A7" s="78" t="s">
        <v>201</v>
      </c>
      <c r="B7" s="138">
        <v>40</v>
      </c>
      <c r="C7" s="138">
        <v>54</v>
      </c>
      <c r="D7" s="139">
        <f t="shared" si="0"/>
        <v>44.444444444444443</v>
      </c>
      <c r="E7" s="140">
        <v>0.65</v>
      </c>
      <c r="F7" s="465"/>
      <c r="G7" s="396" t="s">
        <v>201</v>
      </c>
      <c r="H7" s="395">
        <f>B7</f>
        <v>40</v>
      </c>
      <c r="I7" s="395">
        <f t="shared" si="2"/>
        <v>77.41935483870968</v>
      </c>
      <c r="J7" s="398">
        <v>31</v>
      </c>
      <c r="K7" s="394">
        <v>0</v>
      </c>
    </row>
    <row r="8" spans="1:11" x14ac:dyDescent="0.25">
      <c r="A8" s="396" t="s">
        <v>202</v>
      </c>
      <c r="B8" s="395">
        <v>1266</v>
      </c>
      <c r="C8" s="395">
        <f>(19*60+13)*1.1</f>
        <v>1268.3000000000002</v>
      </c>
      <c r="D8" s="398">
        <f t="shared" si="0"/>
        <v>59.891192935425366</v>
      </c>
      <c r="E8" s="394">
        <v>0</v>
      </c>
      <c r="F8" s="465"/>
      <c r="G8" s="78" t="s">
        <v>202</v>
      </c>
      <c r="H8" s="138">
        <f>B8</f>
        <v>1266</v>
      </c>
      <c r="I8" s="138">
        <f t="shared" si="2"/>
        <v>2450.3225806451615</v>
      </c>
      <c r="J8" s="139">
        <v>31</v>
      </c>
      <c r="K8" s="140">
        <v>0.25</v>
      </c>
    </row>
    <row r="9" spans="1:11" x14ac:dyDescent="0.25">
      <c r="A9" s="78" t="s">
        <v>203</v>
      </c>
      <c r="B9" s="138">
        <v>468</v>
      </c>
      <c r="C9" s="138">
        <f>(6*60+53)*1.1</f>
        <v>454.3</v>
      </c>
      <c r="D9" s="139">
        <f t="shared" si="0"/>
        <v>61.809377063614349</v>
      </c>
      <c r="E9" s="140">
        <v>0.05</v>
      </c>
      <c r="F9" s="465"/>
      <c r="G9" s="78" t="s">
        <v>203</v>
      </c>
      <c r="H9" s="138">
        <f>B9</f>
        <v>468</v>
      </c>
      <c r="I9" s="138">
        <f t="shared" si="2"/>
        <v>905.80645161290317</v>
      </c>
      <c r="J9" s="139">
        <v>31</v>
      </c>
      <c r="K9" s="140">
        <v>0.05</v>
      </c>
    </row>
    <row r="10" spans="1:11" x14ac:dyDescent="0.25">
      <c r="A10" s="16" t="s">
        <v>186</v>
      </c>
      <c r="B10" s="35">
        <f>B4*$E$4+B6*$E$6+B7*$E$7+B8*$E$8+B9*$E$9+B3*$E$3+B5*$E$5</f>
        <v>148.1</v>
      </c>
      <c r="C10" s="35">
        <f>C4*$E$4+C6*$E$6+C7*$E$7+C8*$E$8+C9*$E$9+C3*$E$3+C5*$E$5</f>
        <v>152.85500000000002</v>
      </c>
      <c r="D10" s="35">
        <f>D4*$E$4+D6*$E$6+D7*$E$7+D8*$E$8+D9*$E$9+D3*$E$3+D5*$E$5</f>
        <v>50.672539560251423</v>
      </c>
      <c r="E10" s="36">
        <f>SUM(E3:E9)</f>
        <v>1</v>
      </c>
      <c r="F10" s="465"/>
      <c r="G10" s="16" t="s">
        <v>186</v>
      </c>
      <c r="H10" s="35">
        <f>H4*$K$4+H6*$K$6+H7*$K$7+H8*$K$8+H9*$K$9+H3*$K$3+H5*$K$5</f>
        <v>1532.7</v>
      </c>
      <c r="I10" s="35">
        <f>I4*$K$4+I6*$K$6+I7*$K$7+I8*$K$8+I9*$K$9+I3*$K$3+I5*$K$5</f>
        <v>2966.516129032258</v>
      </c>
      <c r="J10" s="35">
        <f>J4*$K$4+J6*$K$6+J7*$K$7+J8*$K$8+J9*$K$9+J3*$K$3+J5*$K$5</f>
        <v>31</v>
      </c>
      <c r="K10" s="36">
        <f>SUM(K3:K9)</f>
        <v>1</v>
      </c>
    </row>
    <row r="12" spans="1:11" x14ac:dyDescent="0.25">
      <c r="A12" s="466" t="s">
        <v>189</v>
      </c>
      <c r="B12" s="466"/>
      <c r="C12" s="466"/>
      <c r="D12" s="466"/>
      <c r="E12" s="466"/>
      <c r="F12" s="466"/>
      <c r="G12" s="466"/>
      <c r="H12" s="466"/>
      <c r="I12" s="466"/>
      <c r="J12" s="466"/>
      <c r="K12" s="466"/>
    </row>
    <row r="13" spans="1:11" s="137" customFormat="1" ht="30" x14ac:dyDescent="0.25">
      <c r="A13" s="46" t="s">
        <v>187</v>
      </c>
      <c r="B13" s="47" t="s">
        <v>179</v>
      </c>
      <c r="C13" s="47" t="s">
        <v>180</v>
      </c>
      <c r="D13" s="47" t="s">
        <v>181</v>
      </c>
      <c r="E13" s="47" t="s">
        <v>182</v>
      </c>
      <c r="F13" s="465"/>
      <c r="G13" s="46" t="s">
        <v>188</v>
      </c>
      <c r="H13" s="47" t="s">
        <v>183</v>
      </c>
      <c r="I13" s="47" t="s">
        <v>184</v>
      </c>
      <c r="J13" s="47" t="s">
        <v>185</v>
      </c>
      <c r="K13" s="47" t="s">
        <v>182</v>
      </c>
    </row>
    <row r="14" spans="1:11" x14ac:dyDescent="0.25">
      <c r="A14" s="401" t="s">
        <v>367</v>
      </c>
      <c r="B14" s="400">
        <v>380</v>
      </c>
      <c r="C14" s="399">
        <f>(5*60+49)*1.1</f>
        <v>383.90000000000003</v>
      </c>
      <c r="D14" s="398">
        <f>B14/(C14/60)</f>
        <v>59.390466267257089</v>
      </c>
      <c r="E14" s="397">
        <v>0</v>
      </c>
      <c r="F14" s="465"/>
      <c r="G14" s="401" t="s">
        <v>367</v>
      </c>
      <c r="H14" s="400">
        <f>B14</f>
        <v>380</v>
      </c>
      <c r="I14" s="395">
        <f>(H14*60)/J14</f>
        <v>735.48387096774195</v>
      </c>
      <c r="J14" s="400">
        <v>31</v>
      </c>
      <c r="K14" s="397">
        <v>0</v>
      </c>
    </row>
    <row r="15" spans="1:11" x14ac:dyDescent="0.25">
      <c r="A15" s="78" t="s">
        <v>199</v>
      </c>
      <c r="B15" s="138">
        <v>144</v>
      </c>
      <c r="C15" s="138">
        <f>(2*60+15)*1.1</f>
        <v>148.5</v>
      </c>
      <c r="D15" s="139">
        <f>B15/(C15/60)</f>
        <v>58.18181818181818</v>
      </c>
      <c r="E15" s="140">
        <v>0.4</v>
      </c>
      <c r="F15" s="465"/>
      <c r="G15" s="78" t="s">
        <v>199</v>
      </c>
      <c r="H15" s="138">
        <f>B15</f>
        <v>144</v>
      </c>
      <c r="I15" s="138">
        <f>(H15*60)/J15</f>
        <v>278.70967741935482</v>
      </c>
      <c r="J15" s="139">
        <v>31</v>
      </c>
      <c r="K15" s="140">
        <v>0.1</v>
      </c>
    </row>
    <row r="16" spans="1:11" x14ac:dyDescent="0.25">
      <c r="A16" s="396" t="s">
        <v>368</v>
      </c>
      <c r="B16" s="395">
        <v>961</v>
      </c>
      <c r="C16" s="395">
        <f>(14*60+16)*1.1</f>
        <v>941.6</v>
      </c>
      <c r="D16" s="398">
        <f>B16/(C16/60)</f>
        <v>61.236193712829227</v>
      </c>
      <c r="E16" s="394">
        <v>0</v>
      </c>
      <c r="F16" s="465"/>
      <c r="G16" s="78" t="s">
        <v>368</v>
      </c>
      <c r="H16" s="138">
        <f>B16</f>
        <v>961</v>
      </c>
      <c r="I16" s="138">
        <f>(H16*60)/J16</f>
        <v>1860</v>
      </c>
      <c r="J16" s="139">
        <v>31</v>
      </c>
      <c r="K16" s="140">
        <v>0.05</v>
      </c>
    </row>
    <row r="17" spans="1:11" x14ac:dyDescent="0.25">
      <c r="A17" s="396" t="s">
        <v>200</v>
      </c>
      <c r="B17" s="395">
        <v>2524</v>
      </c>
      <c r="C17" s="395">
        <f>38*60*1.1</f>
        <v>2508</v>
      </c>
      <c r="D17" s="398">
        <f>B17/(C17/60)</f>
        <v>60.382775119617229</v>
      </c>
      <c r="E17" s="394">
        <v>0</v>
      </c>
      <c r="F17" s="465"/>
      <c r="G17" s="78" t="s">
        <v>200</v>
      </c>
      <c r="H17" s="138">
        <v>2869</v>
      </c>
      <c r="I17" s="138">
        <f t="shared" ref="I17:I20" si="3">(H17*60)/J17</f>
        <v>5552.9032258064517</v>
      </c>
      <c r="J17" s="139">
        <v>31</v>
      </c>
      <c r="K17" s="140">
        <v>0.45</v>
      </c>
    </row>
    <row r="18" spans="1:11" x14ac:dyDescent="0.25">
      <c r="A18" s="78" t="s">
        <v>201</v>
      </c>
      <c r="B18" s="138">
        <v>235</v>
      </c>
      <c r="C18" s="138">
        <f>(3*60+15)*1.1</f>
        <v>214.50000000000003</v>
      </c>
      <c r="D18" s="139">
        <f t="shared" ref="D18:D20" si="4">B18/(C18/60)</f>
        <v>65.734265734265719</v>
      </c>
      <c r="E18" s="140">
        <v>0.5</v>
      </c>
      <c r="F18" s="465"/>
      <c r="G18" s="78" t="s">
        <v>201</v>
      </c>
      <c r="H18" s="138">
        <f>B18</f>
        <v>235</v>
      </c>
      <c r="I18" s="138">
        <f t="shared" si="3"/>
        <v>454.83870967741933</v>
      </c>
      <c r="J18" s="139">
        <v>31</v>
      </c>
      <c r="K18" s="140">
        <v>0.2</v>
      </c>
    </row>
    <row r="19" spans="1:11" x14ac:dyDescent="0.25">
      <c r="A19" s="78" t="s">
        <v>202</v>
      </c>
      <c r="B19" s="138">
        <v>1081</v>
      </c>
      <c r="C19" s="138">
        <f>(16*60+35)*1.1</f>
        <v>1094.5</v>
      </c>
      <c r="D19" s="139">
        <f t="shared" si="4"/>
        <v>59.259936043855639</v>
      </c>
      <c r="E19" s="140">
        <v>0.05</v>
      </c>
      <c r="F19" s="465"/>
      <c r="G19" s="78" t="s">
        <v>202</v>
      </c>
      <c r="H19" s="138">
        <f>B19</f>
        <v>1081</v>
      </c>
      <c r="I19" s="138">
        <f t="shared" si="3"/>
        <v>2092.2580645161293</v>
      </c>
      <c r="J19" s="139">
        <v>31</v>
      </c>
      <c r="K19" s="140">
        <v>0.1</v>
      </c>
    </row>
    <row r="20" spans="1:11" x14ac:dyDescent="0.25">
      <c r="A20" s="78" t="s">
        <v>203</v>
      </c>
      <c r="B20" s="138">
        <v>282</v>
      </c>
      <c r="C20" s="138">
        <f>(60*4+22)*1.1</f>
        <v>288.20000000000005</v>
      </c>
      <c r="D20" s="139">
        <f t="shared" si="4"/>
        <v>58.709229701596108</v>
      </c>
      <c r="E20" s="140">
        <v>0.05</v>
      </c>
      <c r="F20" s="465"/>
      <c r="G20" s="78" t="s">
        <v>203</v>
      </c>
      <c r="H20" s="138">
        <f>B20</f>
        <v>282</v>
      </c>
      <c r="I20" s="138">
        <f t="shared" si="3"/>
        <v>545.80645161290317</v>
      </c>
      <c r="J20" s="139">
        <v>31</v>
      </c>
      <c r="K20" s="140">
        <v>0.1</v>
      </c>
    </row>
    <row r="21" spans="1:11" x14ac:dyDescent="0.25">
      <c r="A21" s="16" t="s">
        <v>186</v>
      </c>
      <c r="B21" s="35">
        <f>B15*$E$15+B17*$E$17+B18*$E$18+B19*$E$19+B20*$E$20+B14*$E$14+B16*$E$16</f>
        <v>243.25</v>
      </c>
      <c r="C21" s="35">
        <f>C15*$E$15+C17*$E$17+C18*$E$18+C19*$E$19+C20*$E$20+C14*$E$14+C16*$E$16</f>
        <v>235.78500000000003</v>
      </c>
      <c r="D21" s="35">
        <f>D15*$E$15+D17*$E$17+D18*$E$18+D19*$E$19+D20*$E$20+D14*$E$14+D16*$E$16</f>
        <v>62.038318427132722</v>
      </c>
      <c r="E21" s="36">
        <f>SUM(E14:E20)</f>
        <v>1</v>
      </c>
      <c r="F21" s="465"/>
      <c r="G21" s="16" t="s">
        <v>186</v>
      </c>
      <c r="H21" s="35">
        <f>H15*$K$15+H17*$K$17+H18*$K$18+H19*$K$19+H20*$K$20+H14*$K$14+H16*$K$16</f>
        <v>1536.8</v>
      </c>
      <c r="I21" s="35">
        <f>I15*$K$15+I17*$K$17+I18*$K$18+I19*$K$19+I20*$K$20+I14*$K$14+I16*$K$16</f>
        <v>2974.4516129032259</v>
      </c>
      <c r="J21" s="35">
        <f>J15*$K$15+J17*$K$17+J18*$K$18+J19*$K$19+J20*$K$20+J14*$K$14+J16*$K$16</f>
        <v>31.000000000000004</v>
      </c>
      <c r="K21" s="36">
        <f>SUM(K14:K20)</f>
        <v>1</v>
      </c>
    </row>
    <row r="23" spans="1:11" x14ac:dyDescent="0.25">
      <c r="A23" s="466" t="s">
        <v>190</v>
      </c>
      <c r="B23" s="466"/>
      <c r="C23" s="466"/>
      <c r="D23" s="466"/>
      <c r="E23" s="466"/>
      <c r="F23" s="466"/>
      <c r="G23" s="466"/>
      <c r="H23" s="466"/>
      <c r="I23" s="466"/>
      <c r="J23" s="466"/>
      <c r="K23" s="466"/>
    </row>
    <row r="24" spans="1:11" s="137" customFormat="1" ht="30" x14ac:dyDescent="0.25">
      <c r="A24" s="46" t="s">
        <v>187</v>
      </c>
      <c r="B24" s="47" t="s">
        <v>179</v>
      </c>
      <c r="C24" s="47" t="s">
        <v>180</v>
      </c>
      <c r="D24" s="47" t="s">
        <v>181</v>
      </c>
      <c r="E24" s="47" t="s">
        <v>182</v>
      </c>
      <c r="F24" s="465"/>
      <c r="G24" s="46" t="s">
        <v>188</v>
      </c>
      <c r="H24" s="47" t="s">
        <v>183</v>
      </c>
      <c r="I24" s="47" t="s">
        <v>184</v>
      </c>
      <c r="J24" s="47" t="s">
        <v>185</v>
      </c>
      <c r="K24" s="47" t="s">
        <v>182</v>
      </c>
    </row>
    <row r="25" spans="1:11" x14ac:dyDescent="0.25">
      <c r="A25" s="405" t="s">
        <v>367</v>
      </c>
      <c r="B25" s="403">
        <v>299</v>
      </c>
      <c r="C25" s="403">
        <f>(4*60+46)*1.1</f>
        <v>314.60000000000002</v>
      </c>
      <c r="D25" s="139">
        <f>B25/(C25/60)</f>
        <v>57.024793388429742</v>
      </c>
      <c r="E25" s="402">
        <v>0.05</v>
      </c>
      <c r="F25" s="465"/>
      <c r="G25" s="405" t="s">
        <v>367</v>
      </c>
      <c r="H25" s="404">
        <f>B25</f>
        <v>299</v>
      </c>
      <c r="I25" s="138">
        <f>(H25*60)/J25</f>
        <v>578.70967741935488</v>
      </c>
      <c r="J25" s="404">
        <v>31</v>
      </c>
      <c r="K25" s="402">
        <v>0.05</v>
      </c>
    </row>
    <row r="26" spans="1:11" x14ac:dyDescent="0.25">
      <c r="A26" s="396" t="s">
        <v>199</v>
      </c>
      <c r="B26" s="395">
        <v>349</v>
      </c>
      <c r="C26" s="395">
        <f>(5*60+2)*1.1</f>
        <v>332.20000000000005</v>
      </c>
      <c r="D26" s="398">
        <f>B26/(C26/60)</f>
        <v>63.034316676700776</v>
      </c>
      <c r="E26" s="394">
        <v>0</v>
      </c>
      <c r="F26" s="465"/>
      <c r="G26" s="396" t="s">
        <v>199</v>
      </c>
      <c r="H26" s="395">
        <f>B26</f>
        <v>349</v>
      </c>
      <c r="I26" s="395">
        <f>(H26*60)/J26</f>
        <v>675.48387096774195</v>
      </c>
      <c r="J26" s="398">
        <v>31</v>
      </c>
      <c r="K26" s="394">
        <v>0</v>
      </c>
    </row>
    <row r="27" spans="1:11" x14ac:dyDescent="0.25">
      <c r="A27" s="396" t="s">
        <v>368</v>
      </c>
      <c r="B27" s="395">
        <v>788</v>
      </c>
      <c r="C27" s="395">
        <f>(11*60+50)*1.1</f>
        <v>781.00000000000011</v>
      </c>
      <c r="D27" s="398">
        <f>B27/(C27/60)</f>
        <v>60.53777208706785</v>
      </c>
      <c r="E27" s="394">
        <v>0</v>
      </c>
      <c r="F27" s="465"/>
      <c r="G27" s="78" t="s">
        <v>368</v>
      </c>
      <c r="H27" s="138">
        <f>B27</f>
        <v>788</v>
      </c>
      <c r="I27" s="138">
        <f>(H27*60)/J27</f>
        <v>1525.1612903225807</v>
      </c>
      <c r="J27" s="139">
        <v>31</v>
      </c>
      <c r="K27" s="140">
        <v>0.05</v>
      </c>
    </row>
    <row r="28" spans="1:11" x14ac:dyDescent="0.25">
      <c r="A28" s="396" t="s">
        <v>200</v>
      </c>
      <c r="B28" s="395">
        <v>2188</v>
      </c>
      <c r="C28" s="395">
        <f>30*60*1.1</f>
        <v>1980.0000000000002</v>
      </c>
      <c r="D28" s="398">
        <f>B28/(C28/60)</f>
        <v>66.303030303030283</v>
      </c>
      <c r="E28" s="394">
        <v>0</v>
      </c>
      <c r="F28" s="465"/>
      <c r="G28" s="78" t="s">
        <v>200</v>
      </c>
      <c r="H28" s="138">
        <v>2432</v>
      </c>
      <c r="I28" s="138">
        <f t="shared" ref="I28:I31" si="5">(H28*60)/J28</f>
        <v>4707.0967741935483</v>
      </c>
      <c r="J28" s="139">
        <v>31</v>
      </c>
      <c r="K28" s="140">
        <v>0.25</v>
      </c>
    </row>
    <row r="29" spans="1:11" x14ac:dyDescent="0.25">
      <c r="A29" s="78" t="s">
        <v>201</v>
      </c>
      <c r="B29" s="138">
        <v>663</v>
      </c>
      <c r="C29" s="138">
        <f>(9*60+27)*1.1</f>
        <v>623.70000000000005</v>
      </c>
      <c r="D29" s="139">
        <f t="shared" ref="D29:D31" si="6">B29/(C29/60)</f>
        <v>63.780663780663772</v>
      </c>
      <c r="E29" s="140">
        <v>0.05</v>
      </c>
      <c r="F29" s="465"/>
      <c r="G29" s="396" t="s">
        <v>201</v>
      </c>
      <c r="H29" s="395">
        <f>B29</f>
        <v>663</v>
      </c>
      <c r="I29" s="395">
        <f t="shared" si="5"/>
        <v>1283.2258064516129</v>
      </c>
      <c r="J29" s="398">
        <v>31</v>
      </c>
      <c r="K29" s="394">
        <v>0</v>
      </c>
    </row>
    <row r="30" spans="1:11" x14ac:dyDescent="0.25">
      <c r="A30" s="396" t="s">
        <v>202</v>
      </c>
      <c r="B30" s="395">
        <v>873</v>
      </c>
      <c r="C30" s="395">
        <f>(13*60+45)*1.1</f>
        <v>907.50000000000011</v>
      </c>
      <c r="D30" s="398">
        <f t="shared" si="6"/>
        <v>57.719008264462801</v>
      </c>
      <c r="E30" s="394">
        <v>0</v>
      </c>
      <c r="F30" s="465"/>
      <c r="G30" s="78" t="s">
        <v>202</v>
      </c>
      <c r="H30" s="138">
        <f>B30</f>
        <v>873</v>
      </c>
      <c r="I30" s="138">
        <f t="shared" si="5"/>
        <v>1689.6774193548388</v>
      </c>
      <c r="J30" s="139">
        <v>31</v>
      </c>
      <c r="K30" s="140">
        <v>0.05</v>
      </c>
    </row>
    <row r="31" spans="1:11" x14ac:dyDescent="0.25">
      <c r="A31" s="78" t="s">
        <v>203</v>
      </c>
      <c r="B31" s="138">
        <v>250</v>
      </c>
      <c r="C31" s="138">
        <f>(3*60+51)*1.1</f>
        <v>254.10000000000002</v>
      </c>
      <c r="D31" s="139">
        <f t="shared" si="6"/>
        <v>59.031877213695388</v>
      </c>
      <c r="E31" s="140">
        <v>0.9</v>
      </c>
      <c r="F31" s="465"/>
      <c r="G31" s="78" t="s">
        <v>203</v>
      </c>
      <c r="H31" s="138">
        <f>B31</f>
        <v>250</v>
      </c>
      <c r="I31" s="138">
        <f t="shared" si="5"/>
        <v>483.87096774193549</v>
      </c>
      <c r="J31" s="139">
        <v>31</v>
      </c>
      <c r="K31" s="140">
        <v>0.6</v>
      </c>
    </row>
    <row r="32" spans="1:11" x14ac:dyDescent="0.25">
      <c r="A32" s="16" t="s">
        <v>186</v>
      </c>
      <c r="B32" s="35">
        <f>B26*$E$26+B28*$E$28+B29*$E$29+B30*$E$30+B31*$E$31+B25*$E$25+B27*$E$27</f>
        <v>273.09999999999997</v>
      </c>
      <c r="C32" s="35">
        <f>C26*$E$26+C28*$E$28+C29*$E$29+C30*$E$30+C31*$E$31+C25*$E$25+C27*$E$27</f>
        <v>275.60500000000002</v>
      </c>
      <c r="D32" s="35">
        <f>D26*$E$26+D28*$E$28+D29*$E$29+D30*$E$30+D31*$E$31+D25*$E$25+D27*$E$27</f>
        <v>59.168962350780525</v>
      </c>
      <c r="E32" s="36">
        <f>SUM(E25:E31)</f>
        <v>1</v>
      </c>
      <c r="F32" s="465"/>
      <c r="G32" s="16" t="s">
        <v>186</v>
      </c>
      <c r="H32" s="35">
        <f>H26*$K$26+H28*$K$28+H29*$K$29+H30*$K$30+H31*$K$31+H25*$K$25+H27*$K$27</f>
        <v>856</v>
      </c>
      <c r="I32" s="35">
        <f>I26*$K$26+I28*$K$28+I29*$K$29+I30*$K$30+I31*$K$31+I25*$K$25+I27*$K$27</f>
        <v>1656.7741935483871</v>
      </c>
      <c r="J32" s="35">
        <f>J26*$K$26+J28*$K$28+J29*$K$29+J30*$K$30+J31*$K$31+J25*$K$25+J27*$K$27</f>
        <v>31</v>
      </c>
      <c r="K32" s="36">
        <f>SUM(K25:K31)</f>
        <v>1</v>
      </c>
    </row>
    <row r="34" spans="1:1" x14ac:dyDescent="0.25">
      <c r="A34" s="59" t="s">
        <v>204</v>
      </c>
    </row>
    <row r="35" spans="1:1" x14ac:dyDescent="0.25">
      <c r="A35" s="59" t="s">
        <v>206</v>
      </c>
    </row>
    <row r="36" spans="1:1" x14ac:dyDescent="0.25">
      <c r="A36" s="59" t="s">
        <v>205</v>
      </c>
    </row>
    <row r="37" spans="1:1" x14ac:dyDescent="0.25">
      <c r="A37" s="59" t="s">
        <v>207</v>
      </c>
    </row>
  </sheetData>
  <mergeCells count="6">
    <mergeCell ref="F24:F32"/>
    <mergeCell ref="A12:K12"/>
    <mergeCell ref="A1:K1"/>
    <mergeCell ref="A23:K23"/>
    <mergeCell ref="F2:F10"/>
    <mergeCell ref="F13:F2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BCA Results</vt:lpstr>
      <vt:lpstr>Monetized Values and Factors</vt:lpstr>
      <vt:lpstr>Inflation Adjustment</vt:lpstr>
      <vt:lpstr>Emissions - Truck</vt:lpstr>
      <vt:lpstr>Emissions - Rail</vt:lpstr>
      <vt:lpstr>Crash Rates</vt:lpstr>
      <vt:lpstr>Project Costs</vt:lpstr>
      <vt:lpstr>Other Factors</vt:lpstr>
      <vt:lpstr>Without Project Port Usage</vt:lpstr>
      <vt:lpstr>Trip Calculation</vt:lpstr>
      <vt:lpstr>VMT Ton-Mile Driver Time</vt:lpstr>
      <vt:lpstr>State of Good Repair</vt:lpstr>
      <vt:lpstr>Economic Competitiveness</vt:lpstr>
      <vt:lpstr>Environmental</vt:lpstr>
      <vt:lpstr> Safety</vt:lpstr>
      <vt:lpstr>Summary of Benefits</vt:lpstr>
      <vt:lpstr>Summary of Costs</vt:lpstr>
    </vt:vector>
  </TitlesOfParts>
  <Company>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Ogonowski, Peter</dc:creator>
  <cp:lastModifiedBy>Erin Kersh</cp:lastModifiedBy>
  <dcterms:created xsi:type="dcterms:W3CDTF">2011-09-19T17:32:45Z</dcterms:created>
  <dcterms:modified xsi:type="dcterms:W3CDTF">2019-07-11T18:16:31Z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